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firstSheet="12" activeTab="13"/>
  </bookViews>
  <sheets>
    <sheet name="Потреба в коштах (2)" sheetId="16" state="hidden" r:id="rId1"/>
    <sheet name="Березень 2014" sheetId="3" state="hidden" r:id="rId2"/>
    <sheet name="2011 рік" sheetId="8" state="hidden" r:id="rId3"/>
    <sheet name="2012 рік" sheetId="7" state="hidden" r:id="rId4"/>
    <sheet name="2013" sheetId="10" state="hidden" r:id="rId5"/>
    <sheet name="2014" sheetId="13" state="hidden" r:id="rId6"/>
    <sheet name="2015" sheetId="15" state="hidden" r:id="rId7"/>
    <sheet name="2016" sheetId="18" state="hidden" r:id="rId8"/>
    <sheet name="Потреба в коштах" sheetId="11" state="hidden" r:id="rId9"/>
    <sheet name="2273 за три роки" sheetId="12" state="hidden" r:id="rId10"/>
    <sheet name="Інформація" sheetId="14" state="hidden" r:id="rId11"/>
    <sheet name="2017" sheetId="19" state="hidden" r:id="rId12"/>
    <sheet name="2018" sheetId="20" r:id="rId13"/>
    <sheet name="2019" sheetId="21" r:id="rId14"/>
    <sheet name="Лист1" sheetId="22" state="hidden" r:id="rId15"/>
  </sheets>
  <calcPr calcId="125725"/>
</workbook>
</file>

<file path=xl/calcChain.xml><?xml version="1.0" encoding="utf-8"?>
<calcChain xmlns="http://schemas.openxmlformats.org/spreadsheetml/2006/main">
  <c r="K17" i="21"/>
  <c r="B19"/>
  <c r="N16"/>
  <c r="K16"/>
  <c r="K14"/>
  <c r="N14"/>
  <c r="K13"/>
  <c r="N13"/>
  <c r="K12"/>
  <c r="O15"/>
  <c r="D27" i="22"/>
  <c r="D26"/>
  <c r="C26"/>
  <c r="B15" i="20"/>
  <c r="N11" i="21"/>
  <c r="N10"/>
  <c r="K10"/>
  <c r="K9"/>
  <c r="N9"/>
  <c r="O11"/>
  <c r="P23"/>
  <c r="O23"/>
  <c r="M23"/>
  <c r="L23"/>
  <c r="H23"/>
  <c r="F23"/>
  <c r="E23"/>
  <c r="B23"/>
  <c r="J22"/>
  <c r="D22"/>
  <c r="J21"/>
  <c r="D21"/>
  <c r="K23"/>
  <c r="J20"/>
  <c r="J23"/>
  <c r="D20"/>
  <c r="P19"/>
  <c r="O19"/>
  <c r="O24"/>
  <c r="M19"/>
  <c r="L19"/>
  <c r="L24"/>
  <c r="H19"/>
  <c r="F19"/>
  <c r="E19"/>
  <c r="J18"/>
  <c r="D18"/>
  <c r="J17"/>
  <c r="D17"/>
  <c r="K19"/>
  <c r="K24"/>
  <c r="J16"/>
  <c r="J19"/>
  <c r="J24"/>
  <c r="D16"/>
  <c r="D19"/>
  <c r="P15"/>
  <c r="M15"/>
  <c r="M24"/>
  <c r="L15"/>
  <c r="H15"/>
  <c r="H24"/>
  <c r="F15"/>
  <c r="E15"/>
  <c r="J14"/>
  <c r="J15"/>
  <c r="D14"/>
  <c r="J13"/>
  <c r="D13"/>
  <c r="K15"/>
  <c r="J12"/>
  <c r="D12"/>
  <c r="D15"/>
  <c r="P11"/>
  <c r="M11"/>
  <c r="L11"/>
  <c r="H11"/>
  <c r="F11"/>
  <c r="E11"/>
  <c r="B11"/>
  <c r="J10"/>
  <c r="D10"/>
  <c r="D11"/>
  <c r="D24"/>
  <c r="J9"/>
  <c r="D9"/>
  <c r="K11"/>
  <c r="J8"/>
  <c r="D8"/>
  <c r="N21" i="20"/>
  <c r="B19"/>
  <c r="N20"/>
  <c r="N18"/>
  <c r="N17"/>
  <c r="N16"/>
  <c r="N14"/>
  <c r="N13"/>
  <c r="N12"/>
  <c r="N10"/>
  <c r="N8"/>
  <c r="N9"/>
  <c r="K8"/>
  <c r="J8"/>
  <c r="J11"/>
  <c r="P23"/>
  <c r="O23"/>
  <c r="M23"/>
  <c r="L23"/>
  <c r="H23"/>
  <c r="H24"/>
  <c r="F23"/>
  <c r="F24"/>
  <c r="E23"/>
  <c r="B23"/>
  <c r="K22"/>
  <c r="J22"/>
  <c r="D22"/>
  <c r="D23"/>
  <c r="K21"/>
  <c r="J21"/>
  <c r="J23"/>
  <c r="J24"/>
  <c r="D21"/>
  <c r="K20"/>
  <c r="K23"/>
  <c r="K24"/>
  <c r="J20"/>
  <c r="D20"/>
  <c r="P19"/>
  <c r="O19"/>
  <c r="M19"/>
  <c r="H19"/>
  <c r="F19"/>
  <c r="E19"/>
  <c r="K18"/>
  <c r="J18"/>
  <c r="D18"/>
  <c r="K17"/>
  <c r="K19"/>
  <c r="J17"/>
  <c r="L19"/>
  <c r="D17"/>
  <c r="K16"/>
  <c r="J16"/>
  <c r="J19"/>
  <c r="D16"/>
  <c r="D19"/>
  <c r="P15"/>
  <c r="O15"/>
  <c r="M15"/>
  <c r="L15"/>
  <c r="H15"/>
  <c r="F15"/>
  <c r="E15"/>
  <c r="K14"/>
  <c r="J14"/>
  <c r="D14"/>
  <c r="K13"/>
  <c r="J13"/>
  <c r="D13"/>
  <c r="K12"/>
  <c r="J12"/>
  <c r="J15"/>
  <c r="D12"/>
  <c r="P11"/>
  <c r="P24"/>
  <c r="O11"/>
  <c r="M11"/>
  <c r="H11"/>
  <c r="F11"/>
  <c r="E11"/>
  <c r="B11"/>
  <c r="B24"/>
  <c r="B27"/>
  <c r="K10"/>
  <c r="J10"/>
  <c r="D10"/>
  <c r="K9"/>
  <c r="J9"/>
  <c r="D9"/>
  <c r="K11"/>
  <c r="D8"/>
  <c r="N22" i="19"/>
  <c r="L23"/>
  <c r="K22"/>
  <c r="J22"/>
  <c r="O23"/>
  <c r="O24"/>
  <c r="P25"/>
  <c r="K21"/>
  <c r="J21"/>
  <c r="N21"/>
  <c r="H23"/>
  <c r="K20"/>
  <c r="K23"/>
  <c r="J20"/>
  <c r="K18"/>
  <c r="K19"/>
  <c r="J18"/>
  <c r="L18"/>
  <c r="K17"/>
  <c r="J17"/>
  <c r="L17"/>
  <c r="L19"/>
  <c r="N16"/>
  <c r="M19"/>
  <c r="H15"/>
  <c r="H11"/>
  <c r="H19"/>
  <c r="H24"/>
  <c r="K16"/>
  <c r="J16"/>
  <c r="K14"/>
  <c r="J14"/>
  <c r="K13"/>
  <c r="J13"/>
  <c r="K12"/>
  <c r="K15"/>
  <c r="J12"/>
  <c r="J15"/>
  <c r="K10"/>
  <c r="J10"/>
  <c r="K9"/>
  <c r="K11"/>
  <c r="J9"/>
  <c r="J11"/>
  <c r="P23"/>
  <c r="M23"/>
  <c r="F23"/>
  <c r="E23"/>
  <c r="E24"/>
  <c r="B23"/>
  <c r="D22"/>
  <c r="D21"/>
  <c r="N20"/>
  <c r="D20"/>
  <c r="P19"/>
  <c r="P24"/>
  <c r="O19"/>
  <c r="F19"/>
  <c r="E19"/>
  <c r="N18"/>
  <c r="D18"/>
  <c r="N17"/>
  <c r="D17"/>
  <c r="D16"/>
  <c r="D19"/>
  <c r="P15"/>
  <c r="O15"/>
  <c r="M15"/>
  <c r="L15"/>
  <c r="F15"/>
  <c r="E15"/>
  <c r="B15"/>
  <c r="N14"/>
  <c r="D14"/>
  <c r="N13"/>
  <c r="D13"/>
  <c r="N12"/>
  <c r="D12"/>
  <c r="D15"/>
  <c r="P11"/>
  <c r="O11"/>
  <c r="M11"/>
  <c r="F11"/>
  <c r="E11"/>
  <c r="B11"/>
  <c r="B24"/>
  <c r="N10"/>
  <c r="D10"/>
  <c r="N9"/>
  <c r="D9"/>
  <c r="N8"/>
  <c r="K8"/>
  <c r="D8"/>
  <c r="M24" i="18"/>
  <c r="M22"/>
  <c r="M23"/>
  <c r="M18"/>
  <c r="M19"/>
  <c r="M20"/>
  <c r="M15"/>
  <c r="M16"/>
  <c r="M14"/>
  <c r="M11"/>
  <c r="M12"/>
  <c r="M10"/>
  <c r="I23"/>
  <c r="J23"/>
  <c r="J25"/>
  <c r="I22"/>
  <c r="J10"/>
  <c r="J13"/>
  <c r="I16"/>
  <c r="I18"/>
  <c r="J18"/>
  <c r="I19"/>
  <c r="J19"/>
  <c r="I20"/>
  <c r="J20"/>
  <c r="I15"/>
  <c r="J15"/>
  <c r="J17"/>
  <c r="I14"/>
  <c r="I11"/>
  <c r="I12"/>
  <c r="I10"/>
  <c r="D14"/>
  <c r="D17"/>
  <c r="D26"/>
  <c r="E27"/>
  <c r="D15"/>
  <c r="D16"/>
  <c r="D18"/>
  <c r="D19"/>
  <c r="D20"/>
  <c r="D22"/>
  <c r="D23"/>
  <c r="D24"/>
  <c r="D11"/>
  <c r="D12"/>
  <c r="D10"/>
  <c r="D13"/>
  <c r="Q8" i="15"/>
  <c r="Q9"/>
  <c r="Q7"/>
  <c r="Q10"/>
  <c r="O25" i="18"/>
  <c r="N25"/>
  <c r="L25"/>
  <c r="K25"/>
  <c r="F25"/>
  <c r="E25"/>
  <c r="B25"/>
  <c r="O21"/>
  <c r="N21"/>
  <c r="N26"/>
  <c r="O27"/>
  <c r="L21"/>
  <c r="K21"/>
  <c r="K26"/>
  <c r="F21"/>
  <c r="E21"/>
  <c r="O17"/>
  <c r="N17"/>
  <c r="L17"/>
  <c r="K17"/>
  <c r="F17"/>
  <c r="E17"/>
  <c r="B17"/>
  <c r="O13"/>
  <c r="N13"/>
  <c r="L13"/>
  <c r="K13"/>
  <c r="F13"/>
  <c r="E13"/>
  <c r="B13"/>
  <c r="K24" i="15"/>
  <c r="K23"/>
  <c r="K22"/>
  <c r="K20"/>
  <c r="K19"/>
  <c r="K18"/>
  <c r="F43" i="16"/>
  <c r="E42"/>
  <c r="G42"/>
  <c r="E41"/>
  <c r="G41"/>
  <c r="E40"/>
  <c r="G40"/>
  <c r="E39"/>
  <c r="G39"/>
  <c r="E38"/>
  <c r="G38"/>
  <c r="G37"/>
  <c r="G36"/>
  <c r="F35"/>
  <c r="E35"/>
  <c r="G34"/>
  <c r="G33"/>
  <c r="G32"/>
  <c r="G31"/>
  <c r="G30"/>
  <c r="G29"/>
  <c r="G28"/>
  <c r="G35"/>
  <c r="D25"/>
  <c r="E20"/>
  <c r="E22"/>
  <c r="F18"/>
  <c r="E17"/>
  <c r="G17"/>
  <c r="E16"/>
  <c r="G16"/>
  <c r="E15"/>
  <c r="G15"/>
  <c r="E14"/>
  <c r="G14"/>
  <c r="E13"/>
  <c r="G13"/>
  <c r="E12"/>
  <c r="G12"/>
  <c r="G11"/>
  <c r="G18"/>
  <c r="F10"/>
  <c r="D10"/>
  <c r="E9"/>
  <c r="G9"/>
  <c r="E8"/>
  <c r="G8"/>
  <c r="E7"/>
  <c r="G7"/>
  <c r="G6"/>
  <c r="E8" i="11"/>
  <c r="G8"/>
  <c r="E9"/>
  <c r="G9"/>
  <c r="E7"/>
  <c r="G7"/>
  <c r="D10"/>
  <c r="F10"/>
  <c r="G6"/>
  <c r="G37"/>
  <c r="G36"/>
  <c r="F43"/>
  <c r="E40"/>
  <c r="G40"/>
  <c r="E41"/>
  <c r="G41"/>
  <c r="E42"/>
  <c r="G42"/>
  <c r="E39"/>
  <c r="G39"/>
  <c r="E38"/>
  <c r="G38"/>
  <c r="G29"/>
  <c r="G30"/>
  <c r="G31"/>
  <c r="G32"/>
  <c r="G33"/>
  <c r="G34"/>
  <c r="F35"/>
  <c r="E35"/>
  <c r="G28"/>
  <c r="G35"/>
  <c r="D25"/>
  <c r="E20"/>
  <c r="E22"/>
  <c r="G11"/>
  <c r="E13"/>
  <c r="G13"/>
  <c r="E14"/>
  <c r="G14"/>
  <c r="E15"/>
  <c r="G15"/>
  <c r="E16"/>
  <c r="G16"/>
  <c r="E17"/>
  <c r="G17"/>
  <c r="E12"/>
  <c r="G12"/>
  <c r="K16" i="15"/>
  <c r="K15"/>
  <c r="K14"/>
  <c r="H17"/>
  <c r="D12"/>
  <c r="D10"/>
  <c r="K12"/>
  <c r="K11"/>
  <c r="K9"/>
  <c r="H9"/>
  <c r="H30" i="13"/>
  <c r="M25" i="15"/>
  <c r="L25"/>
  <c r="J25"/>
  <c r="I25"/>
  <c r="F25"/>
  <c r="E25"/>
  <c r="B25"/>
  <c r="B26"/>
  <c r="H25"/>
  <c r="D24"/>
  <c r="D23"/>
  <c r="D22"/>
  <c r="M21"/>
  <c r="L21"/>
  <c r="J21"/>
  <c r="I21"/>
  <c r="H21"/>
  <c r="F21"/>
  <c r="E21"/>
  <c r="M17"/>
  <c r="L17"/>
  <c r="J17"/>
  <c r="I17"/>
  <c r="F17"/>
  <c r="F26"/>
  <c r="E17"/>
  <c r="B17"/>
  <c r="D14"/>
  <c r="D17"/>
  <c r="M13"/>
  <c r="M26"/>
  <c r="L13"/>
  <c r="J13"/>
  <c r="I13"/>
  <c r="H13"/>
  <c r="F13"/>
  <c r="E13"/>
  <c r="L30"/>
  <c r="B13"/>
  <c r="D11"/>
  <c r="D9"/>
  <c r="D13"/>
  <c r="L25" i="13"/>
  <c r="L26"/>
  <c r="M27"/>
  <c r="H24"/>
  <c r="G22" i="14"/>
  <c r="G16"/>
  <c r="G18"/>
  <c r="G23"/>
  <c r="F10"/>
  <c r="G10"/>
  <c r="F9"/>
  <c r="G9"/>
  <c r="G11"/>
  <c r="E11"/>
  <c r="B11"/>
  <c r="D10"/>
  <c r="D9"/>
  <c r="D11"/>
  <c r="K22" i="13"/>
  <c r="K20"/>
  <c r="K19"/>
  <c r="K14"/>
  <c r="K15"/>
  <c r="K16"/>
  <c r="D38" i="3"/>
  <c r="G28" i="13"/>
  <c r="M25"/>
  <c r="J25"/>
  <c r="I25"/>
  <c r="I26"/>
  <c r="H25"/>
  <c r="F25"/>
  <c r="E25"/>
  <c r="B25"/>
  <c r="D24"/>
  <c r="D23"/>
  <c r="D22"/>
  <c r="D25"/>
  <c r="M21"/>
  <c r="J21"/>
  <c r="I21"/>
  <c r="H21"/>
  <c r="F21"/>
  <c r="E21"/>
  <c r="L21"/>
  <c r="M17"/>
  <c r="J17"/>
  <c r="J26"/>
  <c r="I17"/>
  <c r="H17"/>
  <c r="H26"/>
  <c r="I27"/>
  <c r="F17"/>
  <c r="E17"/>
  <c r="E26"/>
  <c r="B17"/>
  <c r="L17"/>
  <c r="D14"/>
  <c r="D17"/>
  <c r="M13"/>
  <c r="N21"/>
  <c r="J13"/>
  <c r="I13"/>
  <c r="F13"/>
  <c r="F26"/>
  <c r="E13"/>
  <c r="D32"/>
  <c r="D33"/>
  <c r="D34"/>
  <c r="B13"/>
  <c r="D11"/>
  <c r="H13"/>
  <c r="D10"/>
  <c r="D13"/>
  <c r="G27" i="10"/>
  <c r="N55"/>
  <c r="N57"/>
  <c r="N58"/>
  <c r="K23"/>
  <c r="D9" i="3"/>
  <c r="K21" i="10"/>
  <c r="K19"/>
  <c r="F18" i="11"/>
  <c r="L17" i="10"/>
  <c r="L20"/>
  <c r="K18"/>
  <c r="E20"/>
  <c r="L15"/>
  <c r="L16"/>
  <c r="K14"/>
  <c r="C25" i="12"/>
  <c r="E25"/>
  <c r="G25"/>
  <c r="F25"/>
  <c r="B25"/>
  <c r="D25"/>
  <c r="K13" i="10"/>
  <c r="K11"/>
  <c r="D10"/>
  <c r="D11"/>
  <c r="D13"/>
  <c r="D16"/>
  <c r="D21"/>
  <c r="D22"/>
  <c r="D24"/>
  <c r="D23"/>
  <c r="M24"/>
  <c r="M25"/>
  <c r="J24"/>
  <c r="I24"/>
  <c r="F24"/>
  <c r="E24"/>
  <c r="B24"/>
  <c r="L24"/>
  <c r="L25"/>
  <c r="H24"/>
  <c r="J20"/>
  <c r="I20"/>
  <c r="F20"/>
  <c r="M20"/>
  <c r="H20"/>
  <c r="M16"/>
  <c r="J16"/>
  <c r="J25"/>
  <c r="I16"/>
  <c r="F16"/>
  <c r="E16"/>
  <c r="B16"/>
  <c r="H16"/>
  <c r="M12"/>
  <c r="L12"/>
  <c r="J12"/>
  <c r="I12"/>
  <c r="F12"/>
  <c r="E12"/>
  <c r="B12"/>
  <c r="K9"/>
  <c r="H9"/>
  <c r="D9"/>
  <c r="D12"/>
  <c r="L23" i="7"/>
  <c r="L24"/>
  <c r="L25"/>
  <c r="H23"/>
  <c r="D23"/>
  <c r="K22"/>
  <c r="H22"/>
  <c r="D22"/>
  <c r="K23" i="8"/>
  <c r="H23"/>
  <c r="H22"/>
  <c r="K22"/>
  <c r="D23"/>
  <c r="D22"/>
  <c r="M24"/>
  <c r="L24"/>
  <c r="J24"/>
  <c r="I24"/>
  <c r="F24"/>
  <c r="E24"/>
  <c r="B24"/>
  <c r="K21"/>
  <c r="H21"/>
  <c r="D21"/>
  <c r="L20"/>
  <c r="J20"/>
  <c r="I20"/>
  <c r="F20"/>
  <c r="F25"/>
  <c r="M19"/>
  <c r="K19"/>
  <c r="H19"/>
  <c r="M20"/>
  <c r="M25"/>
  <c r="K18"/>
  <c r="H18"/>
  <c r="K17"/>
  <c r="H17"/>
  <c r="H20"/>
  <c r="M16"/>
  <c r="L16"/>
  <c r="J16"/>
  <c r="I16"/>
  <c r="F16"/>
  <c r="E16"/>
  <c r="E25"/>
  <c r="B16"/>
  <c r="K15"/>
  <c r="H15"/>
  <c r="K14"/>
  <c r="H14"/>
  <c r="K13"/>
  <c r="H13"/>
  <c r="H16"/>
  <c r="D13"/>
  <c r="D16"/>
  <c r="M12"/>
  <c r="L12"/>
  <c r="J12"/>
  <c r="I12"/>
  <c r="F12"/>
  <c r="E12"/>
  <c r="B12"/>
  <c r="K11"/>
  <c r="H11"/>
  <c r="D11"/>
  <c r="K10"/>
  <c r="H10"/>
  <c r="D10"/>
  <c r="K9"/>
  <c r="H9"/>
  <c r="H12"/>
  <c r="D9"/>
  <c r="D12"/>
  <c r="B24" i="7"/>
  <c r="D21"/>
  <c r="D24"/>
  <c r="E24"/>
  <c r="M24"/>
  <c r="J24"/>
  <c r="I24"/>
  <c r="I25"/>
  <c r="F24"/>
  <c r="F25"/>
  <c r="K21"/>
  <c r="H21"/>
  <c r="H24"/>
  <c r="L20"/>
  <c r="J20"/>
  <c r="K19"/>
  <c r="M18"/>
  <c r="M19"/>
  <c r="K18"/>
  <c r="K17"/>
  <c r="M17"/>
  <c r="M20"/>
  <c r="M25"/>
  <c r="I20"/>
  <c r="F20"/>
  <c r="H18"/>
  <c r="H19"/>
  <c r="H17"/>
  <c r="H20"/>
  <c r="D28" i="3"/>
  <c r="L28"/>
  <c r="D21"/>
  <c r="D25"/>
  <c r="J16" i="7"/>
  <c r="J25"/>
  <c r="J12"/>
  <c r="K15"/>
  <c r="K10"/>
  <c r="K11"/>
  <c r="K13"/>
  <c r="K14"/>
  <c r="K9"/>
  <c r="H15"/>
  <c r="M16"/>
  <c r="M12"/>
  <c r="L16"/>
  <c r="L12"/>
  <c r="I16"/>
  <c r="I12"/>
  <c r="H10"/>
  <c r="H11"/>
  <c r="H13"/>
  <c r="H16"/>
  <c r="H14"/>
  <c r="H9"/>
  <c r="H12"/>
  <c r="F16"/>
  <c r="F12"/>
  <c r="E16"/>
  <c r="B16"/>
  <c r="B25"/>
  <c r="D13"/>
  <c r="D16"/>
  <c r="E12"/>
  <c r="E25"/>
  <c r="B12"/>
  <c r="D10"/>
  <c r="D11"/>
  <c r="D9"/>
  <c r="D12"/>
  <c r="D24" i="3"/>
  <c r="L24"/>
  <c r="D44"/>
  <c r="L44"/>
  <c r="E44"/>
  <c r="F44"/>
  <c r="G44"/>
  <c r="H44"/>
  <c r="I44"/>
  <c r="J44"/>
  <c r="K44"/>
  <c r="L43"/>
  <c r="L42"/>
  <c r="L41"/>
  <c r="D37"/>
  <c r="L37"/>
  <c r="E37"/>
  <c r="F37"/>
  <c r="G37"/>
  <c r="H37"/>
  <c r="I37"/>
  <c r="J37"/>
  <c r="K37"/>
  <c r="L36"/>
  <c r="L35"/>
  <c r="E25"/>
  <c r="E32"/>
  <c r="E33"/>
  <c r="F25"/>
  <c r="F32"/>
  <c r="F33"/>
  <c r="G25"/>
  <c r="G33"/>
  <c r="G32"/>
  <c r="H25"/>
  <c r="H33"/>
  <c r="H32"/>
  <c r="I25"/>
  <c r="I32"/>
  <c r="I33"/>
  <c r="J25"/>
  <c r="J32"/>
  <c r="J33"/>
  <c r="K25"/>
  <c r="K33"/>
  <c r="K32"/>
  <c r="D31"/>
  <c r="L31"/>
  <c r="E31"/>
  <c r="E39"/>
  <c r="F31"/>
  <c r="F39"/>
  <c r="G31"/>
  <c r="G39"/>
  <c r="H31"/>
  <c r="H39"/>
  <c r="I31"/>
  <c r="I39"/>
  <c r="J31"/>
  <c r="J39"/>
  <c r="K31"/>
  <c r="K39"/>
  <c r="L30"/>
  <c r="L29"/>
  <c r="L27"/>
  <c r="L23"/>
  <c r="E24"/>
  <c r="F24"/>
  <c r="G24"/>
  <c r="H24"/>
  <c r="I24"/>
  <c r="J24"/>
  <c r="K24"/>
  <c r="L22"/>
  <c r="L20"/>
  <c r="D15"/>
  <c r="E15"/>
  <c r="E18"/>
  <c r="E17"/>
  <c r="L17"/>
  <c r="F15"/>
  <c r="F17"/>
  <c r="G15"/>
  <c r="G18"/>
  <c r="G17"/>
  <c r="H15"/>
  <c r="H17"/>
  <c r="H18"/>
  <c r="I15"/>
  <c r="I17"/>
  <c r="I18"/>
  <c r="J15"/>
  <c r="J18"/>
  <c r="J17"/>
  <c r="K15"/>
  <c r="K18"/>
  <c r="K17"/>
  <c r="E16"/>
  <c r="F16"/>
  <c r="G16"/>
  <c r="H16"/>
  <c r="I16"/>
  <c r="L16"/>
  <c r="J16"/>
  <c r="K16"/>
  <c r="D14"/>
  <c r="E14"/>
  <c r="L14"/>
  <c r="F14"/>
  <c r="G14"/>
  <c r="H14"/>
  <c r="I14"/>
  <c r="J14"/>
  <c r="K14"/>
  <c r="L13"/>
  <c r="L12"/>
  <c r="L11"/>
  <c r="L10"/>
  <c r="L9"/>
  <c r="L8"/>
  <c r="L7"/>
  <c r="L6"/>
  <c r="F18"/>
  <c r="L25" i="8"/>
  <c r="M26"/>
  <c r="J25"/>
  <c r="B25"/>
  <c r="H12" i="10"/>
  <c r="H25"/>
  <c r="I26"/>
  <c r="I25"/>
  <c r="F25"/>
  <c r="M26" i="13"/>
  <c r="L13"/>
  <c r="D25" i="15"/>
  <c r="D26"/>
  <c r="I26"/>
  <c r="E26" i="18"/>
  <c r="F26"/>
  <c r="O26"/>
  <c r="G43" i="11"/>
  <c r="G43" i="16"/>
  <c r="L21" i="3"/>
  <c r="L25"/>
  <c r="E25" i="10"/>
  <c r="E18" i="11"/>
  <c r="D32" i="3"/>
  <c r="L32"/>
  <c r="E43" i="11"/>
  <c r="L26" i="18"/>
  <c r="D25" i="10"/>
  <c r="E26"/>
  <c r="D26" i="13"/>
  <c r="E34"/>
  <c r="G10" i="11"/>
  <c r="J21" i="18"/>
  <c r="J26"/>
  <c r="E10" i="16"/>
  <c r="E10" i="11"/>
  <c r="M24" i="20"/>
  <c r="E24"/>
  <c r="L11"/>
  <c r="L24"/>
  <c r="L25"/>
  <c r="D23" i="19"/>
  <c r="L39" i="3"/>
  <c r="L33"/>
  <c r="D25" i="7"/>
  <c r="E26"/>
  <c r="K27" i="18"/>
  <c r="E27" i="13"/>
  <c r="L18" i="3"/>
  <c r="H25" i="7"/>
  <c r="I26"/>
  <c r="M26"/>
  <c r="M26" i="10"/>
  <c r="K24" i="19"/>
  <c r="I25" i="8"/>
  <c r="B25" i="10"/>
  <c r="J26" i="15"/>
  <c r="G18" i="11"/>
  <c r="D25" i="18"/>
  <c r="M24" i="19"/>
  <c r="L15" i="3"/>
  <c r="L9" i="19"/>
  <c r="L11"/>
  <c r="E43" i="16"/>
  <c r="E18"/>
  <c r="D24" i="8"/>
  <c r="D25"/>
  <c r="E26"/>
  <c r="H24"/>
  <c r="H25"/>
  <c r="I26"/>
  <c r="B26" i="13"/>
  <c r="H26" i="15"/>
  <c r="I27"/>
  <c r="E26"/>
  <c r="E27"/>
  <c r="K25"/>
  <c r="L26"/>
  <c r="M27"/>
  <c r="G10" i="16"/>
  <c r="G45"/>
  <c r="D21" i="18"/>
  <c r="F24" i="19"/>
  <c r="J19"/>
  <c r="J24"/>
  <c r="J23"/>
  <c r="L24"/>
  <c r="D15" i="20"/>
  <c r="K15"/>
  <c r="G45" i="11"/>
  <c r="E45"/>
  <c r="L25" i="19"/>
  <c r="E45" i="16"/>
  <c r="P24" i="21"/>
  <c r="E24"/>
  <c r="J11"/>
  <c r="D23"/>
  <c r="B24"/>
  <c r="B27"/>
  <c r="F24"/>
  <c r="D11" i="20"/>
  <c r="D24"/>
  <c r="E25"/>
  <c r="D11" i="19"/>
  <c r="D24"/>
  <c r="E25"/>
  <c r="B26" i="18"/>
  <c r="P25" i="21"/>
  <c r="O24" i="20"/>
  <c r="P25"/>
  <c r="L25" i="21"/>
  <c r="E25"/>
</calcChain>
</file>

<file path=xl/sharedStrings.xml><?xml version="1.0" encoding="utf-8"?>
<sst xmlns="http://schemas.openxmlformats.org/spreadsheetml/2006/main" count="740" uniqueCount="230">
  <si>
    <t xml:space="preserve">Дані про стан розрахунків за спожиті комунальні послуги та енергоносії </t>
  </si>
  <si>
    <t>( без урахування  КФК 060702   та   КФК 100203 )</t>
  </si>
  <si>
    <t>грн</t>
  </si>
  <si>
    <t>коди функціональної класифікації  (КФК)  в тому числі :</t>
  </si>
  <si>
    <t>Довідково :</t>
  </si>
  <si>
    <t>один.вим</t>
  </si>
  <si>
    <t>Всього за м-ць</t>
  </si>
  <si>
    <t>підприємство-надавач-послуг</t>
  </si>
  <si>
    <r>
      <t>Спожито</t>
    </r>
    <r>
      <rPr>
        <sz val="10"/>
        <rFont val="Arial"/>
      </rPr>
      <t xml:space="preserve"> </t>
    </r>
    <r>
      <rPr>
        <sz val="9"/>
        <rFont val="Arial"/>
        <family val="2"/>
        <charset val="204"/>
      </rPr>
      <t>(включаючи відновлення видатків)</t>
    </r>
  </si>
  <si>
    <t>у фізичних обсягах</t>
  </si>
  <si>
    <t>кв.м</t>
  </si>
  <si>
    <t>Сума</t>
  </si>
  <si>
    <t>Гкал</t>
  </si>
  <si>
    <t>відновлення видатків</t>
  </si>
  <si>
    <t>Спожито головним розпорядником</t>
  </si>
  <si>
    <t>Сума(касові видатки)</t>
  </si>
  <si>
    <r>
      <t>Спожито</t>
    </r>
    <r>
      <rPr>
        <sz val="9"/>
        <rFont val="Arial"/>
        <family val="2"/>
        <charset val="204"/>
      </rPr>
      <t xml:space="preserve"> (включаючи відновлення видатків)</t>
    </r>
  </si>
  <si>
    <t>куб.  м</t>
  </si>
  <si>
    <t>куб.м</t>
  </si>
  <si>
    <t>Квт</t>
  </si>
  <si>
    <t>Спожито</t>
  </si>
  <si>
    <t>балони (шт)</t>
  </si>
  <si>
    <r>
      <t xml:space="preserve">Примітка : дані подавати </t>
    </r>
    <r>
      <rPr>
        <b/>
        <sz val="10"/>
        <rFont val="Arial"/>
        <family val="2"/>
        <charset val="204"/>
      </rPr>
      <t>щомісячно</t>
    </r>
    <r>
      <rPr>
        <sz val="10"/>
        <rFont val="Arial"/>
      </rPr>
      <t xml:space="preserve"> до 02 числа, наступним за звітним місяцем</t>
    </r>
  </si>
  <si>
    <t>Керівник</t>
  </si>
  <si>
    <t>Головний бухгалтер</t>
  </si>
  <si>
    <t>Вишенська ЗОШ І-ІІІ ст.</t>
  </si>
  <si>
    <t>Райтепломережа</t>
  </si>
  <si>
    <t>Київобленерго</t>
  </si>
  <si>
    <t>КЕКВ  1161  Тепло</t>
  </si>
  <si>
    <t>Фактично використано у 2012 р.</t>
  </si>
  <si>
    <t>гКал</t>
  </si>
  <si>
    <t>Ціна 1 гКал</t>
  </si>
  <si>
    <t>Сплачено</t>
  </si>
  <si>
    <t>КЕКВ  1162   Вода</t>
  </si>
  <si>
    <t>куб.м.</t>
  </si>
  <si>
    <t>Ціна 1 куб.</t>
  </si>
  <si>
    <t>КЕКВ  1163   Світло</t>
  </si>
  <si>
    <t>Ціна 1 Квт.</t>
  </si>
  <si>
    <t>Січень</t>
  </si>
  <si>
    <t>Лютий</t>
  </si>
  <si>
    <t>Березень</t>
  </si>
  <si>
    <t>Всього за 1 квартал</t>
  </si>
  <si>
    <t>Заборгованість на 01.01.12.</t>
  </si>
  <si>
    <t>Квітень</t>
  </si>
  <si>
    <t>Травень</t>
  </si>
  <si>
    <t>Червень</t>
  </si>
  <si>
    <t>Всього за 2 квартал</t>
  </si>
  <si>
    <t>Липень</t>
  </si>
  <si>
    <t>Серпень</t>
  </si>
  <si>
    <t>Вересень</t>
  </si>
  <si>
    <t>Всього за 3 квартал</t>
  </si>
  <si>
    <t>Жовтень</t>
  </si>
  <si>
    <t>Листопад</t>
  </si>
  <si>
    <t>Грудень</t>
  </si>
  <si>
    <t>Всього за 4 квартал</t>
  </si>
  <si>
    <t>ВСЬОГО за рік</t>
  </si>
  <si>
    <t>БОРГ</t>
  </si>
  <si>
    <t>Бухгалтер                               О.В.Ярмолюк</t>
  </si>
  <si>
    <t>Заборгованість на 01.01.11.</t>
  </si>
  <si>
    <t>30.12.2011р.</t>
  </si>
  <si>
    <r>
      <t xml:space="preserve">Фактичне використання коштів по енергоносіях за </t>
    </r>
    <r>
      <rPr>
        <b/>
        <i/>
        <sz val="18"/>
        <rFont val="Arial"/>
        <family val="2"/>
        <charset val="204"/>
      </rPr>
      <t>2011</t>
    </r>
    <r>
      <rPr>
        <b/>
        <i/>
        <sz val="12"/>
        <rFont val="Arial"/>
        <family val="2"/>
        <charset val="204"/>
      </rPr>
      <t xml:space="preserve"> рік</t>
    </r>
  </si>
  <si>
    <r>
      <t xml:space="preserve">Фактично використано у </t>
    </r>
    <r>
      <rPr>
        <b/>
        <sz val="20"/>
        <rFont val="Arial"/>
        <family val="2"/>
        <charset val="204"/>
      </rPr>
      <t xml:space="preserve">2011 </t>
    </r>
    <r>
      <rPr>
        <b/>
        <sz val="11"/>
        <rFont val="Arial"/>
        <family val="2"/>
        <charset val="204"/>
      </rPr>
      <t>р.</t>
    </r>
  </si>
  <si>
    <r>
      <t xml:space="preserve">Фактично використано у </t>
    </r>
    <r>
      <rPr>
        <b/>
        <sz val="18"/>
        <rFont val="Arial"/>
        <family val="2"/>
        <charset val="204"/>
      </rPr>
      <t>2011</t>
    </r>
    <r>
      <rPr>
        <b/>
        <sz val="11"/>
        <rFont val="Arial"/>
        <family val="2"/>
        <charset val="204"/>
      </rPr>
      <t xml:space="preserve"> р.</t>
    </r>
  </si>
  <si>
    <r>
      <t xml:space="preserve">Фактичне використання коштів по енергоносіях за </t>
    </r>
    <r>
      <rPr>
        <b/>
        <i/>
        <sz val="16"/>
        <rFont val="Arial"/>
        <family val="2"/>
        <charset val="204"/>
      </rPr>
      <t>2012</t>
    </r>
    <r>
      <rPr>
        <b/>
        <i/>
        <sz val="12"/>
        <rFont val="Arial"/>
        <family val="2"/>
        <charset val="204"/>
      </rPr>
      <t xml:space="preserve"> рік</t>
    </r>
  </si>
  <si>
    <t>27.12.2012р.</t>
  </si>
  <si>
    <t>Грудень(на 03.01.2013)</t>
  </si>
  <si>
    <t>гнідин</t>
  </si>
  <si>
    <t>вода</t>
  </si>
  <si>
    <t>КЕКВ 2271</t>
  </si>
  <si>
    <t>КЕКВ 2272  "ВОДОПОСТАЧАННЯ"</t>
  </si>
  <si>
    <t>КЕКВ 2272  "ВОДОВІДВЕДЕННЯ"</t>
  </si>
  <si>
    <t>КЕКВ 2274</t>
  </si>
  <si>
    <r>
      <t xml:space="preserve">Фактичне використання коштів по енергоносіях за </t>
    </r>
    <r>
      <rPr>
        <b/>
        <i/>
        <sz val="16"/>
        <rFont val="Arial"/>
        <family val="2"/>
        <charset val="204"/>
      </rPr>
      <t>2013</t>
    </r>
    <r>
      <rPr>
        <b/>
        <i/>
        <sz val="12"/>
        <rFont val="Arial"/>
        <family val="2"/>
        <charset val="204"/>
      </rPr>
      <t>рік</t>
    </r>
  </si>
  <si>
    <t>Заборгов.на 01.01.13.</t>
  </si>
  <si>
    <t>Заборгованість на 01.01.13.</t>
  </si>
  <si>
    <t>ВАТ Регіонпродукт</t>
  </si>
  <si>
    <t>Разом  КЕКВ 2271</t>
  </si>
  <si>
    <t>Разом  КЕКВ 2272</t>
  </si>
  <si>
    <t>КЕКВ 2273</t>
  </si>
  <si>
    <t>Разом  КЕКВ 2273</t>
  </si>
  <si>
    <t>КП "Горянин" Гірської с\ради</t>
  </si>
  <si>
    <t>Вишенська загальноосвітня школа І-ІІІ ступенів</t>
  </si>
  <si>
    <t>КЕКВ</t>
  </si>
  <si>
    <t>Місяць</t>
  </si>
  <si>
    <t>Нараховано</t>
  </si>
  <si>
    <t>Кошторис</t>
  </si>
  <si>
    <t>Не вистачає</t>
  </si>
  <si>
    <t>до кошторису</t>
  </si>
  <si>
    <t>Всього</t>
  </si>
  <si>
    <t>Всього по КЕКВ 2273</t>
  </si>
  <si>
    <t>Бухгалтер</t>
  </si>
  <si>
    <t>О.В.Ярмолюк</t>
  </si>
  <si>
    <t>Вишенська ЗОШ І-ІІІ ступенів</t>
  </si>
  <si>
    <t>Використання електроенергії</t>
  </si>
  <si>
    <t>Порівняльна таблиця</t>
  </si>
  <si>
    <t>кошторис і  фактичні видатки за три роки.</t>
  </si>
  <si>
    <t>КЕКВ  2273</t>
  </si>
  <si>
    <t xml:space="preserve">Фактичні </t>
  </si>
  <si>
    <t>видатки</t>
  </si>
  <si>
    <t>2011 рік</t>
  </si>
  <si>
    <t>2012 рік</t>
  </si>
  <si>
    <t>2013 рік</t>
  </si>
  <si>
    <t>березень</t>
  </si>
  <si>
    <t>ВСЬОГО</t>
  </si>
  <si>
    <t>25.04.2013.</t>
  </si>
  <si>
    <t>Фактично використано у 2013 р.</t>
  </si>
  <si>
    <t>Фактично використано у 2013р.</t>
  </si>
  <si>
    <t>КЕКВ  2271  Тепло</t>
  </si>
  <si>
    <t>КЕКВ  2272   Вода</t>
  </si>
  <si>
    <t>КЕКВ  2273  Світло</t>
  </si>
  <si>
    <t>Вересень, очікуване</t>
  </si>
  <si>
    <t>Жовтень, очікуване</t>
  </si>
  <si>
    <t>Листопад, очікуване</t>
  </si>
  <si>
    <t>Грудень, очікуване</t>
  </si>
  <si>
    <t>грн.</t>
  </si>
  <si>
    <t>КЕКВ-2230</t>
  </si>
  <si>
    <t>Залишок</t>
  </si>
  <si>
    <t>УКРТЕПЛО КИЇВ</t>
  </si>
  <si>
    <t>зарплата</t>
  </si>
  <si>
    <t>зарплата,лікарняні</t>
  </si>
  <si>
    <t>відрядження</t>
  </si>
  <si>
    <t>Разом</t>
  </si>
  <si>
    <t>% банка</t>
  </si>
  <si>
    <t>на січень</t>
  </si>
  <si>
    <t>гКал-</t>
  </si>
  <si>
    <t>станом на 01.01.2014 р.</t>
  </si>
  <si>
    <r>
      <t xml:space="preserve">Фактичне використання коштів по енергоносіях за </t>
    </r>
    <r>
      <rPr>
        <b/>
        <i/>
        <sz val="16"/>
        <rFont val="Arial"/>
        <family val="2"/>
        <charset val="204"/>
      </rPr>
      <t>2014</t>
    </r>
    <r>
      <rPr>
        <b/>
        <i/>
        <sz val="12"/>
        <rFont val="Arial"/>
        <family val="2"/>
        <charset val="204"/>
      </rPr>
      <t>рік</t>
    </r>
  </si>
  <si>
    <t>Фактично використано у 2014 р.</t>
  </si>
  <si>
    <t>Фактично використано у 2014р.</t>
  </si>
  <si>
    <t>Заборгованість на 01.01.14.</t>
  </si>
  <si>
    <t>проплачено</t>
  </si>
  <si>
    <r>
      <t>за __</t>
    </r>
    <r>
      <rPr>
        <b/>
        <sz val="18"/>
        <rFont val="Arial"/>
        <family val="2"/>
        <charset val="204"/>
      </rPr>
      <t>березень__ м-ць    2014</t>
    </r>
    <r>
      <rPr>
        <b/>
        <sz val="12"/>
        <rFont val="Arial"/>
        <family val="2"/>
        <charset val="204"/>
      </rPr>
      <t xml:space="preserve"> року     по __КФК 07000________________________</t>
    </r>
  </si>
  <si>
    <t>5,63-стоки;26,11-Горянин</t>
  </si>
  <si>
    <t>31,74:</t>
  </si>
  <si>
    <t xml:space="preserve">Березень на 21.03. </t>
  </si>
  <si>
    <t>Інформація</t>
  </si>
  <si>
    <t>про потребу коштів на тепло до кінця 2014 року.</t>
  </si>
  <si>
    <t>Фактично використано</t>
  </si>
  <si>
    <t>Ціна</t>
  </si>
  <si>
    <t>Очікуване використання</t>
  </si>
  <si>
    <t>За кошторисом</t>
  </si>
  <si>
    <t>Залишок за діючим договором № 2/14 від 24.02.2014р.(тендер)</t>
  </si>
  <si>
    <t>Буде використано до кінця року</t>
  </si>
  <si>
    <t>Можемо віддати</t>
  </si>
  <si>
    <t xml:space="preserve"> з них: на потреби  Вишенської ЗОШ:</t>
  </si>
  <si>
    <r>
      <t xml:space="preserve">Є в наявності кошти по КЕКВ </t>
    </r>
    <r>
      <rPr>
        <b/>
        <sz val="12"/>
        <rFont val="Arial"/>
        <family val="2"/>
        <charset val="204"/>
      </rPr>
      <t>2271</t>
    </r>
    <r>
      <rPr>
        <sz val="12"/>
        <rFont val="Arial"/>
        <family val="2"/>
        <charset val="204"/>
      </rPr>
      <t>:</t>
    </r>
  </si>
  <si>
    <t>на потреби інших шкіл :</t>
  </si>
  <si>
    <t>16.10.2014 р.</t>
  </si>
  <si>
    <t>Заборгованість на 01.01.15.</t>
  </si>
  <si>
    <r>
      <t xml:space="preserve">Фактичне використання коштів по енергоносіях за </t>
    </r>
    <r>
      <rPr>
        <b/>
        <i/>
        <sz val="16"/>
        <rFont val="Arial"/>
        <family val="2"/>
        <charset val="204"/>
      </rPr>
      <t>2015</t>
    </r>
    <r>
      <rPr>
        <b/>
        <i/>
        <sz val="12"/>
        <rFont val="Arial"/>
        <family val="2"/>
        <charset val="204"/>
      </rPr>
      <t>рік</t>
    </r>
  </si>
  <si>
    <t>Проплачено у 2014 році</t>
  </si>
  <si>
    <t xml:space="preserve">Разом проплачено </t>
  </si>
  <si>
    <t>Переплачено</t>
  </si>
  <si>
    <r>
      <t xml:space="preserve">станом на </t>
    </r>
    <r>
      <rPr>
        <b/>
        <sz val="10"/>
        <rFont val="Arial"/>
        <family val="2"/>
        <charset val="204"/>
      </rPr>
      <t>29.12.2014</t>
    </r>
    <r>
      <rPr>
        <sz val="10"/>
        <rFont val="Arial"/>
        <family val="2"/>
        <charset val="204"/>
      </rPr>
      <t xml:space="preserve"> р.</t>
    </r>
  </si>
  <si>
    <r>
      <t xml:space="preserve">З 01 жовтня 2013р по </t>
    </r>
    <r>
      <rPr>
        <b/>
        <sz val="10"/>
        <rFont val="Arial"/>
        <family val="2"/>
        <charset val="204"/>
      </rPr>
      <t>31 грудня 2014</t>
    </r>
    <r>
      <rPr>
        <sz val="10"/>
        <rFont val="Arial"/>
        <family val="2"/>
        <charset val="204"/>
      </rPr>
      <t xml:space="preserve"> року - 692,65 гКал = </t>
    </r>
    <r>
      <rPr>
        <b/>
        <sz val="11"/>
        <rFont val="Arial"/>
        <family val="2"/>
        <charset val="204"/>
      </rPr>
      <t>830390,38</t>
    </r>
    <r>
      <rPr>
        <b/>
        <sz val="12"/>
        <rFont val="Arial"/>
        <family val="2"/>
        <charset val="204"/>
      </rPr>
      <t xml:space="preserve"> </t>
    </r>
    <r>
      <rPr>
        <sz val="10"/>
        <rFont val="Arial"/>
      </rPr>
      <t>грн.</t>
    </r>
  </si>
  <si>
    <t xml:space="preserve">Проплачено у 2013 році= 350000,92 </t>
  </si>
  <si>
    <t>Укртепло Київ:</t>
  </si>
  <si>
    <t>на суму</t>
  </si>
  <si>
    <t>на липень- грудень 2015 року.</t>
  </si>
  <si>
    <t>Липень,очікуване</t>
  </si>
  <si>
    <t>Серпень, очікуване</t>
  </si>
  <si>
    <t>борг на 01.07.2015</t>
  </si>
  <si>
    <t>Кількість дітей 1-4 класи - 170 * 8,73*80 дн.=118728,00</t>
  </si>
  <si>
    <t>не вистачає</t>
  </si>
  <si>
    <t>1.</t>
  </si>
  <si>
    <t>Зарплата.Тарифікація</t>
  </si>
  <si>
    <t>Штатне</t>
  </si>
  <si>
    <t xml:space="preserve">Потреба в додаткових коштах </t>
  </si>
  <si>
    <t>Кват, гКал</t>
  </si>
  <si>
    <t>Січень-Квітень</t>
  </si>
  <si>
    <t>Жовтень очікуване</t>
  </si>
  <si>
    <t>Листопад,очікуване</t>
  </si>
  <si>
    <t>Грудень,очікуване</t>
  </si>
  <si>
    <t>Всього не вистачає по всіх КЕКВах</t>
  </si>
  <si>
    <t>Фактично використано у 2015 р.</t>
  </si>
  <si>
    <t>Фактично використано у 2015р.</t>
  </si>
  <si>
    <t>проплач.у 2015</t>
  </si>
  <si>
    <t>станом на _24.11._2015 р.</t>
  </si>
  <si>
    <t>Проплачено у 2013 році= 350000,92 + у 2014р.-480800,00. + у 2015 - 774300,00. Всього:1605100,92</t>
  </si>
  <si>
    <r>
      <t>Разом проплачено 1430800,92 грн. Залишок непроплачених -</t>
    </r>
    <r>
      <rPr>
        <b/>
        <sz val="14"/>
        <rFont val="Arial"/>
        <family val="2"/>
        <charset val="204"/>
      </rPr>
      <t>-61897,44</t>
    </r>
    <r>
      <rPr>
        <sz val="10"/>
        <rFont val="Arial"/>
        <family val="2"/>
        <charset val="204"/>
      </rPr>
      <t xml:space="preserve"> грн.</t>
    </r>
  </si>
  <si>
    <r>
      <t xml:space="preserve">З 01 жовтня 2013р по 31 грудня 2015р. </t>
    </r>
    <r>
      <rPr>
        <b/>
        <sz val="11"/>
        <rFont val="Arial"/>
        <family val="2"/>
        <charset val="204"/>
      </rPr>
      <t>1236,25 гКал</t>
    </r>
    <r>
      <rPr>
        <sz val="10"/>
        <rFont val="Arial"/>
      </rPr>
      <t xml:space="preserve"> =</t>
    </r>
  </si>
  <si>
    <t>На 2017 рік:</t>
  </si>
  <si>
    <t>тепло</t>
  </si>
  <si>
    <t>к-ть</t>
  </si>
  <si>
    <t>ціна</t>
  </si>
  <si>
    <t>сума</t>
  </si>
  <si>
    <t>свет</t>
  </si>
  <si>
    <t>Фактично використано у 2016 р.</t>
  </si>
  <si>
    <t>Фактично використано у 2016р.</t>
  </si>
  <si>
    <t>постачання</t>
  </si>
  <si>
    <t>відведення</t>
  </si>
  <si>
    <t>Заборгованість на 01.01.16.</t>
  </si>
  <si>
    <t xml:space="preserve"> або газ</t>
  </si>
  <si>
    <r>
      <t>В</t>
    </r>
    <r>
      <rPr>
        <b/>
        <sz val="12"/>
        <rFont val="Arial"/>
        <family val="2"/>
        <charset val="204"/>
      </rPr>
      <t>ідновлено видатків:</t>
    </r>
  </si>
  <si>
    <r>
      <t xml:space="preserve">Фактичне використання коштів на  енергоносіях по </t>
    </r>
    <r>
      <rPr>
        <b/>
        <i/>
        <sz val="14"/>
        <rFont val="Arial"/>
        <family val="2"/>
        <charset val="204"/>
      </rPr>
      <t>Вишенській ЗОШ І-ІІІ ступенів</t>
    </r>
    <r>
      <rPr>
        <b/>
        <i/>
        <sz val="12"/>
        <rFont val="Arial"/>
        <family val="2"/>
        <charset val="204"/>
      </rPr>
      <t xml:space="preserve">  за </t>
    </r>
    <r>
      <rPr>
        <b/>
        <i/>
        <sz val="16"/>
        <rFont val="Arial"/>
        <family val="2"/>
        <charset val="204"/>
      </rPr>
      <t>2016</t>
    </r>
    <r>
      <rPr>
        <b/>
        <i/>
        <sz val="12"/>
        <rFont val="Arial"/>
        <family val="2"/>
        <charset val="204"/>
      </rPr>
      <t>рік</t>
    </r>
  </si>
  <si>
    <t>Ціна 1 куб. водопостачання</t>
  </si>
  <si>
    <t>Ціна 1 куб. водовідведення</t>
  </si>
  <si>
    <t>З 1 вересня Регіонпродукт стоки не приймає..</t>
  </si>
  <si>
    <t>станом на 23.12.2016р.</t>
  </si>
  <si>
    <r>
      <t xml:space="preserve">Фактичне використання коштів на  енергоносіях по </t>
    </r>
    <r>
      <rPr>
        <b/>
        <i/>
        <sz val="14"/>
        <rFont val="Arial"/>
        <family val="2"/>
        <charset val="204"/>
      </rPr>
      <t>Вишенській ЗОШ І-ІІІ ступенів</t>
    </r>
    <r>
      <rPr>
        <b/>
        <i/>
        <sz val="12"/>
        <rFont val="Arial"/>
        <family val="2"/>
        <charset val="204"/>
      </rPr>
      <t xml:space="preserve">  за </t>
    </r>
    <r>
      <rPr>
        <b/>
        <i/>
        <sz val="16"/>
        <rFont val="Arial"/>
        <family val="2"/>
        <charset val="204"/>
      </rPr>
      <t>2017</t>
    </r>
    <r>
      <rPr>
        <b/>
        <i/>
        <sz val="12"/>
        <rFont val="Arial"/>
        <family val="2"/>
        <charset val="204"/>
      </rPr>
      <t>рік</t>
    </r>
  </si>
  <si>
    <t>Заборгованість на 01.01.17.</t>
  </si>
  <si>
    <t>Фактично використано у 2017 р.</t>
  </si>
  <si>
    <t>Фактично використано у 2017р.</t>
  </si>
  <si>
    <t>Сума за воду</t>
  </si>
  <si>
    <t>Сума за водовідведення</t>
  </si>
  <si>
    <r>
      <t xml:space="preserve">куб.м. </t>
    </r>
    <r>
      <rPr>
        <b/>
        <sz val="10"/>
        <rFont val="Arial"/>
        <family val="2"/>
        <charset val="204"/>
      </rPr>
      <t>води</t>
    </r>
  </si>
  <si>
    <r>
      <t xml:space="preserve">куб.м. </t>
    </r>
    <r>
      <rPr>
        <b/>
        <sz val="10"/>
        <rFont val="Arial"/>
        <family val="2"/>
        <charset val="204"/>
      </rPr>
      <t>водовідведення</t>
    </r>
  </si>
  <si>
    <r>
      <rPr>
        <b/>
        <sz val="11"/>
        <rFont val="Arial"/>
        <family val="2"/>
        <charset val="204"/>
      </rPr>
      <t>В</t>
    </r>
    <r>
      <rPr>
        <b/>
        <sz val="12"/>
        <rFont val="Arial"/>
        <family val="2"/>
        <charset val="204"/>
      </rPr>
      <t>ідновлено видатків:</t>
    </r>
  </si>
  <si>
    <t>станом на 26.12.2017р.</t>
  </si>
  <si>
    <r>
      <t xml:space="preserve">Фактичне використання коштів на  енергоносіях по </t>
    </r>
    <r>
      <rPr>
        <b/>
        <i/>
        <sz val="14"/>
        <rFont val="Arial"/>
        <family val="2"/>
        <charset val="204"/>
      </rPr>
      <t>Вишенській ЗОШ І-ІІІ ступенів</t>
    </r>
    <r>
      <rPr>
        <b/>
        <i/>
        <sz val="12"/>
        <rFont val="Arial"/>
        <family val="2"/>
        <charset val="204"/>
      </rPr>
      <t xml:space="preserve">  за </t>
    </r>
    <r>
      <rPr>
        <b/>
        <i/>
        <sz val="16"/>
        <rFont val="Arial"/>
        <family val="2"/>
        <charset val="204"/>
      </rPr>
      <t>2018</t>
    </r>
    <r>
      <rPr>
        <b/>
        <i/>
        <sz val="12"/>
        <rFont val="Arial"/>
        <family val="2"/>
        <charset val="204"/>
      </rPr>
      <t>рік</t>
    </r>
  </si>
  <si>
    <t>Фактично використано у 2018 р.</t>
  </si>
  <si>
    <t>Фактично використано у 2018р.</t>
  </si>
  <si>
    <t>Оплачено на 01.01.18.</t>
  </si>
  <si>
    <t>Лічильник</t>
  </si>
  <si>
    <t>Г кал по старому лічильнику</t>
  </si>
  <si>
    <r>
      <t xml:space="preserve">Фактичне використання коштів на  енергоносіях по </t>
    </r>
    <r>
      <rPr>
        <b/>
        <i/>
        <sz val="14"/>
        <rFont val="Arial"/>
        <family val="2"/>
        <charset val="204"/>
      </rPr>
      <t>Вишенській ЗОШ І-ІІІ ступенів</t>
    </r>
    <r>
      <rPr>
        <b/>
        <i/>
        <sz val="12"/>
        <rFont val="Arial"/>
        <family val="2"/>
        <charset val="204"/>
      </rPr>
      <t xml:space="preserve">  за </t>
    </r>
    <r>
      <rPr>
        <b/>
        <i/>
        <sz val="16"/>
        <rFont val="Arial"/>
        <family val="2"/>
        <charset val="204"/>
      </rPr>
      <t>2019</t>
    </r>
    <r>
      <rPr>
        <b/>
        <i/>
        <sz val="12"/>
        <rFont val="Arial"/>
        <family val="2"/>
        <charset val="204"/>
      </rPr>
      <t>рік</t>
    </r>
  </si>
  <si>
    <t>Фактично використано у 2019 р.</t>
  </si>
  <si>
    <t>Фактично використано у 2019р.</t>
  </si>
  <si>
    <t>Расход</t>
  </si>
  <si>
    <t>4,046 за 1 день</t>
  </si>
  <si>
    <t xml:space="preserve"> </t>
  </si>
  <si>
    <t xml:space="preserve"> 05.10.2017.- поставили новий лічильник</t>
  </si>
  <si>
    <t>станом на 31.12.2018р.</t>
  </si>
  <si>
    <t>Фактичне використання гКал тепла:</t>
  </si>
  <si>
    <t>Середнє за 1 день</t>
  </si>
  <si>
    <t>Середнє за 1 день по роках</t>
  </si>
  <si>
    <r>
      <t xml:space="preserve">Максимальне розрахукове теплове навантаження системи опалення ( яке вказане у договорі)- </t>
    </r>
    <r>
      <rPr>
        <b/>
        <sz val="10"/>
        <rFont val="Arial"/>
        <family val="2"/>
        <charset val="204"/>
      </rPr>
      <t>0,766</t>
    </r>
    <r>
      <rPr>
        <sz val="10"/>
        <rFont val="Arial"/>
        <family val="2"/>
        <charset val="204"/>
      </rPr>
      <t xml:space="preserve"> гКал/ год.</t>
    </r>
  </si>
  <si>
    <r>
      <t xml:space="preserve">Фактично найбільше теплове навантаження за 1 год= </t>
    </r>
    <r>
      <rPr>
        <b/>
        <sz val="10"/>
        <rFont val="Arial"/>
        <family val="2"/>
        <charset val="204"/>
      </rPr>
      <t>0,169</t>
    </r>
    <r>
      <rPr>
        <sz val="10"/>
        <rFont val="Arial"/>
        <family val="2"/>
        <charset val="204"/>
      </rPr>
      <t xml:space="preserve"> Гкал.( 4,064/24 год)</t>
    </r>
  </si>
  <si>
    <r>
      <t>14 лютого 2019 року був знятий лічильник. З 15.02.2019. по 31.03.2019 - 45 днів Х 4,064=182,88 гКал. Х 2370,88 грн.=</t>
    </r>
    <r>
      <rPr>
        <b/>
        <sz val="20"/>
        <rFont val="Arial"/>
        <family val="2"/>
        <charset val="204"/>
      </rPr>
      <t xml:space="preserve"> 433587 грн.</t>
    </r>
  </si>
  <si>
    <t>станом на 31.08.2019р.</t>
  </si>
</sst>
</file>

<file path=xl/styles.xml><?xml version="1.0" encoding="utf-8"?>
<styleSheet xmlns="http://schemas.openxmlformats.org/spreadsheetml/2006/main">
  <numFmts count="4">
    <numFmt numFmtId="171" formatCode="_-* #,##0.00\ _₽_-;\-* #,##0.00\ _₽_-;_-* &quot;-&quot;??\ _₽_-;_-@_-"/>
    <numFmt numFmtId="179" formatCode="_-* #,##0.00\ _г_р_н_._-;\-* #,##0.00\ _г_р_н_._-;_-* &quot;-&quot;??\ _г_р_н_._-;_-@_-"/>
    <numFmt numFmtId="203" formatCode="_(* #,##0.00_);_(* \(#,##0.00\);_(* &quot;-&quot;??_);_(@_)"/>
    <numFmt numFmtId="209" formatCode="0.000"/>
  </numFmts>
  <fonts count="42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i/>
      <sz val="9"/>
      <color indexed="12"/>
      <name val="Arial"/>
      <family val="2"/>
      <charset val="204"/>
    </font>
    <font>
      <i/>
      <sz val="10"/>
      <color indexed="48"/>
      <name val="Arial"/>
      <family val="2"/>
      <charset val="204"/>
    </font>
    <font>
      <i/>
      <sz val="11"/>
      <color indexed="12"/>
      <name val="Arial"/>
      <family val="2"/>
      <charset val="204"/>
    </font>
    <font>
      <i/>
      <sz val="11"/>
      <color indexed="12"/>
      <name val="Arial"/>
      <family val="2"/>
      <charset val="204"/>
    </font>
    <font>
      <i/>
      <sz val="10"/>
      <color indexed="12"/>
      <name val="Arial"/>
      <family val="2"/>
      <charset val="204"/>
    </font>
    <font>
      <b/>
      <i/>
      <sz val="9"/>
      <color indexed="12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b/>
      <i/>
      <sz val="11"/>
      <color indexed="12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b/>
      <sz val="2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8"/>
      <name val="Arial"/>
      <family val="2"/>
      <charset val="204"/>
    </font>
    <font>
      <b/>
      <sz val="18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sz val="8"/>
      <name val="Arial"/>
      <family val="2"/>
      <charset val="204"/>
    </font>
    <font>
      <b/>
      <i/>
      <sz val="11"/>
      <name val="Arial"/>
      <family val="2"/>
      <charset val="204"/>
    </font>
    <font>
      <sz val="2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203" fontId="1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/>
    <xf numFmtId="4" fontId="3" fillId="0" borderId="0" xfId="0" applyNumberFormat="1" applyFont="1"/>
    <xf numFmtId="4" fontId="2" fillId="0" borderId="0" xfId="0" applyNumberFormat="1" applyFont="1"/>
    <xf numFmtId="4" fontId="0" fillId="0" borderId="0" xfId="0" applyNumberFormat="1"/>
    <xf numFmtId="0" fontId="0" fillId="0" borderId="1" xfId="0" applyBorder="1"/>
    <xf numFmtId="0" fontId="2" fillId="0" borderId="2" xfId="0" applyFont="1" applyBorder="1" applyAlignment="1">
      <alignment vertical="center"/>
    </xf>
    <xf numFmtId="0" fontId="2" fillId="0" borderId="3" xfId="0" applyFon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0" xfId="0" applyNumberFormat="1" applyBorder="1"/>
    <xf numFmtId="0" fontId="0" fillId="0" borderId="3" xfId="0" applyBorder="1" applyAlignment="1">
      <alignment vertical="center" wrapText="1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>
      <alignment horizontal="center" vertical="center" wrapText="1"/>
    </xf>
    <xf numFmtId="4" fontId="0" fillId="0" borderId="6" xfId="0" applyNumberFormat="1" applyBorder="1"/>
    <xf numFmtId="0" fontId="7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" fontId="8" fillId="0" borderId="8" xfId="0" applyNumberFormat="1" applyFont="1" applyBorder="1" applyAlignment="1" applyProtection="1">
      <alignment vertical="center"/>
      <protection locked="0"/>
    </xf>
    <xf numFmtId="4" fontId="8" fillId="0" borderId="9" xfId="0" applyNumberFormat="1" applyFont="1" applyBorder="1" applyAlignment="1">
      <alignment vertical="center"/>
    </xf>
    <xf numFmtId="4" fontId="0" fillId="0" borderId="5" xfId="0" applyNumberFormat="1" applyBorder="1" applyProtection="1">
      <protection locked="0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8" fillId="0" borderId="10" xfId="0" applyNumberFormat="1" applyFont="1" applyBorder="1" applyAlignment="1" applyProtection="1">
      <alignment vertical="center"/>
      <protection locked="0"/>
    </xf>
    <xf numFmtId="4" fontId="8" fillId="0" borderId="11" xfId="0" applyNumberFormat="1" applyFont="1" applyBorder="1" applyAlignment="1">
      <alignment vertical="center"/>
    </xf>
    <xf numFmtId="4" fontId="0" fillId="0" borderId="12" xfId="0" applyNumberFormat="1" applyBorder="1" applyProtection="1">
      <protection locked="0"/>
    </xf>
    <xf numFmtId="0" fontId="7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8" fillId="0" borderId="13" xfId="0" applyNumberFormat="1" applyFont="1" applyBorder="1" applyAlignment="1" applyProtection="1">
      <alignment vertic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4" fillId="0" borderId="12" xfId="0" applyNumberFormat="1" applyFont="1" applyBorder="1" applyProtection="1">
      <protection locked="0"/>
    </xf>
    <xf numFmtId="4" fontId="14" fillId="0" borderId="0" xfId="0" applyNumberFormat="1" applyFont="1"/>
    <xf numFmtId="4" fontId="10" fillId="0" borderId="15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4" fontId="17" fillId="0" borderId="11" xfId="0" applyNumberFormat="1" applyFont="1" applyBorder="1" applyAlignment="1">
      <alignment vertical="center"/>
    </xf>
    <xf numFmtId="4" fontId="14" fillId="0" borderId="6" xfId="0" applyNumberFormat="1" applyFont="1" applyBorder="1" applyProtection="1">
      <protection locked="0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8" fillId="0" borderId="22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vertical="center"/>
    </xf>
    <xf numFmtId="4" fontId="14" fillId="0" borderId="17" xfId="0" applyNumberFormat="1" applyFont="1" applyBorder="1" applyAlignment="1">
      <alignment vertical="center"/>
    </xf>
    <xf numFmtId="4" fontId="14" fillId="0" borderId="17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4" fontId="8" fillId="0" borderId="8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vertical="center"/>
    </xf>
    <xf numFmtId="4" fontId="13" fillId="0" borderId="22" xfId="0" applyNumberFormat="1" applyFont="1" applyBorder="1" applyAlignment="1">
      <alignment vertical="center"/>
    </xf>
    <xf numFmtId="4" fontId="16" fillId="0" borderId="17" xfId="0" applyNumberFormat="1" applyFont="1" applyBorder="1" applyAlignment="1">
      <alignment horizontal="center" vertical="center" wrapText="1"/>
    </xf>
    <xf numFmtId="4" fontId="17" fillId="0" borderId="17" xfId="0" applyNumberFormat="1" applyFont="1" applyBorder="1" applyAlignment="1">
      <alignment vertical="center"/>
    </xf>
    <xf numFmtId="4" fontId="17" fillId="0" borderId="22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center" vertical="center" wrapText="1"/>
    </xf>
    <xf numFmtId="4" fontId="12" fillId="0" borderId="28" xfId="0" applyNumberFormat="1" applyFont="1" applyBorder="1" applyAlignment="1">
      <alignment vertical="center"/>
    </xf>
    <xf numFmtId="4" fontId="12" fillId="0" borderId="29" xfId="0" applyNumberFormat="1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4" fontId="22" fillId="0" borderId="8" xfId="0" applyNumberFormat="1" applyFont="1" applyBorder="1" applyAlignment="1" applyProtection="1">
      <alignment horizontal="center"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0" borderId="0" xfId="0" applyFont="1"/>
    <xf numFmtId="4" fontId="14" fillId="0" borderId="7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horizontal="center" vertical="center" wrapText="1"/>
    </xf>
    <xf numFmtId="4" fontId="12" fillId="0" borderId="3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31" xfId="0" applyFont="1" applyBorder="1"/>
    <xf numFmtId="0" fontId="4" fillId="0" borderId="10" xfId="0" applyFont="1" applyBorder="1"/>
    <xf numFmtId="0" fontId="0" fillId="0" borderId="10" xfId="0" applyBorder="1"/>
    <xf numFmtId="0" fontId="5" fillId="0" borderId="10" xfId="0" applyFont="1" applyBorder="1"/>
    <xf numFmtId="0" fontId="4" fillId="0" borderId="11" xfId="0" applyFont="1" applyBorder="1"/>
    <xf numFmtId="0" fontId="0" fillId="0" borderId="11" xfId="0" applyBorder="1"/>
    <xf numFmtId="0" fontId="5" fillId="0" borderId="11" xfId="0" applyFont="1" applyBorder="1"/>
    <xf numFmtId="0" fontId="26" fillId="0" borderId="32" xfId="0" applyFont="1" applyBorder="1"/>
    <xf numFmtId="0" fontId="26" fillId="0" borderId="20" xfId="0" applyFont="1" applyBorder="1"/>
    <xf numFmtId="0" fontId="26" fillId="0" borderId="21" xfId="0" applyFont="1" applyBorder="1"/>
    <xf numFmtId="0" fontId="4" fillId="0" borderId="14" xfId="0" applyFont="1" applyBorder="1"/>
    <xf numFmtId="0" fontId="4" fillId="0" borderId="22" xfId="0" applyFont="1" applyBorder="1"/>
    <xf numFmtId="0" fontId="0" fillId="0" borderId="14" xfId="0" applyBorder="1"/>
    <xf numFmtId="0" fontId="0" fillId="0" borderId="22" xfId="0" applyBorder="1"/>
    <xf numFmtId="0" fontId="5" fillId="0" borderId="14" xfId="0" applyFont="1" applyBorder="1"/>
    <xf numFmtId="0" fontId="5" fillId="0" borderId="22" xfId="0" applyFont="1" applyBorder="1"/>
    <xf numFmtId="0" fontId="26" fillId="0" borderId="33" xfId="0" applyFont="1" applyBorder="1"/>
    <xf numFmtId="0" fontId="0" fillId="0" borderId="20" xfId="0" applyBorder="1"/>
    <xf numFmtId="0" fontId="0" fillId="0" borderId="21" xfId="0" applyBorder="1"/>
    <xf numFmtId="203" fontId="0" fillId="0" borderId="10" xfId="1" applyFont="1" applyBorder="1"/>
    <xf numFmtId="0" fontId="27" fillId="0" borderId="34" xfId="0" applyFont="1" applyFill="1" applyBorder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5" xfId="0" applyFont="1" applyBorder="1"/>
    <xf numFmtId="203" fontId="30" fillId="0" borderId="0" xfId="1" applyFont="1"/>
    <xf numFmtId="203" fontId="5" fillId="0" borderId="10" xfId="1" applyFont="1" applyBorder="1"/>
    <xf numFmtId="203" fontId="5" fillId="0" borderId="28" xfId="1" applyFont="1" applyBorder="1"/>
    <xf numFmtId="203" fontId="5" fillId="0" borderId="31" xfId="1" applyFont="1" applyBorder="1"/>
    <xf numFmtId="0" fontId="0" fillId="0" borderId="0" xfId="0" applyFill="1" applyBorder="1"/>
    <xf numFmtId="4" fontId="29" fillId="0" borderId="12" xfId="0" applyNumberFormat="1" applyFont="1" applyBorder="1" applyProtection="1">
      <protection locked="0"/>
    </xf>
    <xf numFmtId="0" fontId="26" fillId="0" borderId="0" xfId="0" applyFont="1"/>
    <xf numFmtId="0" fontId="29" fillId="0" borderId="10" xfId="0" applyFont="1" applyBorder="1"/>
    <xf numFmtId="0" fontId="28" fillId="0" borderId="10" xfId="0" applyFont="1" applyBorder="1"/>
    <xf numFmtId="0" fontId="35" fillId="0" borderId="0" xfId="0" applyFont="1"/>
    <xf numFmtId="0" fontId="36" fillId="0" borderId="0" xfId="0" applyFont="1"/>
    <xf numFmtId="0" fontId="35" fillId="0" borderId="11" xfId="0" applyFont="1" applyBorder="1"/>
    <xf numFmtId="0" fontId="29" fillId="0" borderId="11" xfId="0" applyFont="1" applyBorder="1"/>
    <xf numFmtId="0" fontId="0" fillId="0" borderId="29" xfId="0" applyBorder="1"/>
    <xf numFmtId="0" fontId="5" fillId="2" borderId="14" xfId="0" applyFont="1" applyFill="1" applyBorder="1"/>
    <xf numFmtId="0" fontId="0" fillId="2" borderId="14" xfId="0" applyFill="1" applyBorder="1"/>
    <xf numFmtId="0" fontId="0" fillId="2" borderId="27" xfId="0" applyFill="1" applyBorder="1"/>
    <xf numFmtId="0" fontId="34" fillId="0" borderId="10" xfId="0" applyFont="1" applyBorder="1"/>
    <xf numFmtId="0" fontId="35" fillId="0" borderId="10" xfId="0" applyFont="1" applyBorder="1"/>
    <xf numFmtId="0" fontId="33" fillId="0" borderId="0" xfId="0" applyFont="1" applyAlignment="1"/>
    <xf numFmtId="0" fontId="0" fillId="0" borderId="0" xfId="0" applyAlignment="1"/>
    <xf numFmtId="0" fontId="5" fillId="0" borderId="0" xfId="0" applyFont="1" applyAlignment="1"/>
    <xf numFmtId="203" fontId="0" fillId="0" borderId="0" xfId="1" applyFont="1"/>
    <xf numFmtId="203" fontId="5" fillId="0" borderId="0" xfId="0" applyNumberFormat="1" applyFont="1"/>
    <xf numFmtId="0" fontId="37" fillId="0" borderId="0" xfId="0" applyFont="1"/>
    <xf numFmtId="203" fontId="37" fillId="0" borderId="0" xfId="1" applyFont="1"/>
    <xf numFmtId="0" fontId="0" fillId="3" borderId="22" xfId="0" applyFill="1" applyBorder="1"/>
    <xf numFmtId="0" fontId="5" fillId="3" borderId="22" xfId="0" applyFont="1" applyFill="1" applyBorder="1"/>
    <xf numFmtId="0" fontId="35" fillId="3" borderId="26" xfId="0" applyFont="1" applyFill="1" applyBorder="1"/>
    <xf numFmtId="2" fontId="34" fillId="3" borderId="22" xfId="0" applyNumberFormat="1" applyFont="1" applyFill="1" applyBorder="1"/>
    <xf numFmtId="0" fontId="25" fillId="0" borderId="0" xfId="0" applyFont="1"/>
    <xf numFmtId="0" fontId="25" fillId="0" borderId="10" xfId="0" applyFont="1" applyBorder="1"/>
    <xf numFmtId="0" fontId="8" fillId="0" borderId="0" xfId="0" applyFont="1"/>
    <xf numFmtId="0" fontId="8" fillId="0" borderId="10" xfId="0" applyFont="1" applyBorder="1"/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" fillId="0" borderId="0" xfId="0" applyFont="1" applyBorder="1"/>
    <xf numFmtId="0" fontId="2" fillId="0" borderId="32" xfId="0" applyFont="1" applyBorder="1"/>
    <xf numFmtId="0" fontId="25" fillId="0" borderId="22" xfId="0" applyFont="1" applyBorder="1"/>
    <xf numFmtId="0" fontId="8" fillId="0" borderId="14" xfId="0" applyFont="1" applyBorder="1"/>
    <xf numFmtId="0" fontId="0" fillId="0" borderId="22" xfId="0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3" xfId="0" applyFont="1" applyBorder="1"/>
    <xf numFmtId="0" fontId="2" fillId="0" borderId="22" xfId="0" applyFont="1" applyBorder="1"/>
    <xf numFmtId="0" fontId="0" fillId="0" borderId="28" xfId="0" applyBorder="1"/>
    <xf numFmtId="0" fontId="2" fillId="0" borderId="29" xfId="0" applyFont="1" applyBorder="1"/>
    <xf numFmtId="0" fontId="0" fillId="0" borderId="0" xfId="0" applyBorder="1"/>
    <xf numFmtId="0" fontId="2" fillId="0" borderId="21" xfId="0" applyFont="1" applyBorder="1"/>
    <xf numFmtId="0" fontId="0" fillId="0" borderId="36" xfId="0" applyBorder="1"/>
    <xf numFmtId="0" fontId="5" fillId="0" borderId="0" xfId="0" applyFont="1" applyFill="1" applyBorder="1"/>
    <xf numFmtId="2" fontId="0" fillId="3" borderId="22" xfId="0" applyNumberFormat="1" applyFill="1" applyBorder="1"/>
    <xf numFmtId="209" fontId="0" fillId="0" borderId="14" xfId="0" applyNumberFormat="1" applyBorder="1"/>
    <xf numFmtId="0" fontId="5" fillId="0" borderId="10" xfId="0" applyFont="1" applyBorder="1" applyAlignment="1"/>
    <xf numFmtId="0" fontId="4" fillId="0" borderId="13" xfId="0" applyFont="1" applyBorder="1"/>
    <xf numFmtId="0" fontId="5" fillId="0" borderId="20" xfId="0" applyFont="1" applyBorder="1" applyAlignment="1"/>
    <xf numFmtId="0" fontId="0" fillId="0" borderId="27" xfId="0" applyBorder="1"/>
    <xf numFmtId="0" fontId="25" fillId="0" borderId="28" xfId="0" applyFont="1" applyBorder="1"/>
    <xf numFmtId="2" fontId="0" fillId="0" borderId="21" xfId="0" applyNumberFormat="1" applyBorder="1"/>
    <xf numFmtId="0" fontId="26" fillId="0" borderId="29" xfId="0" applyFont="1" applyBorder="1"/>
    <xf numFmtId="2" fontId="26" fillId="0" borderId="29" xfId="0" applyNumberFormat="1" applyFont="1" applyBorder="1"/>
    <xf numFmtId="0" fontId="35" fillId="0" borderId="14" xfId="0" applyFont="1" applyBorder="1"/>
    <xf numFmtId="0" fontId="35" fillId="0" borderId="32" xfId="0" applyFont="1" applyBorder="1"/>
    <xf numFmtId="2" fontId="0" fillId="0" borderId="0" xfId="0" applyNumberFormat="1"/>
    <xf numFmtId="0" fontId="35" fillId="0" borderId="0" xfId="0" applyFont="1" applyAlignment="1"/>
    <xf numFmtId="0" fontId="38" fillId="0" borderId="0" xfId="0" applyFont="1"/>
    <xf numFmtId="203" fontId="25" fillId="0" borderId="10" xfId="0" applyNumberFormat="1" applyFont="1" applyBorder="1"/>
    <xf numFmtId="0" fontId="0" fillId="0" borderId="10" xfId="0" applyFill="1" applyBorder="1"/>
    <xf numFmtId="0" fontId="25" fillId="4" borderId="0" xfId="0" applyFont="1" applyFill="1"/>
    <xf numFmtId="0" fontId="2" fillId="0" borderId="11" xfId="0" applyFont="1" applyBorder="1"/>
    <xf numFmtId="0" fontId="3" fillId="0" borderId="11" xfId="0" applyFont="1" applyBorder="1"/>
    <xf numFmtId="0" fontId="25" fillId="0" borderId="10" xfId="0" applyFont="1" applyBorder="1" applyAlignment="1">
      <alignment wrapText="1"/>
    </xf>
    <xf numFmtId="0" fontId="32" fillId="0" borderId="0" xfId="0" applyFont="1"/>
    <xf numFmtId="0" fontId="6" fillId="0" borderId="10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" fillId="3" borderId="26" xfId="0" applyFont="1" applyFill="1" applyBorder="1"/>
    <xf numFmtId="0" fontId="27" fillId="0" borderId="0" xfId="0" applyFont="1" applyAlignment="1"/>
    <xf numFmtId="2" fontId="30" fillId="3" borderId="22" xfId="0" applyNumberFormat="1" applyFont="1" applyFill="1" applyBorder="1"/>
    <xf numFmtId="203" fontId="9" fillId="0" borderId="10" xfId="1" applyFont="1" applyBorder="1"/>
    <xf numFmtId="203" fontId="39" fillId="0" borderId="28" xfId="1" applyFont="1" applyBorder="1"/>
    <xf numFmtId="203" fontId="39" fillId="0" borderId="31" xfId="1" applyFont="1" applyBorder="1"/>
    <xf numFmtId="203" fontId="39" fillId="0" borderId="10" xfId="1" applyFont="1" applyBorder="1"/>
    <xf numFmtId="179" fontId="25" fillId="0" borderId="10" xfId="0" applyNumberFormat="1" applyFont="1" applyBorder="1"/>
    <xf numFmtId="0" fontId="25" fillId="0" borderId="14" xfId="0" applyFont="1" applyBorder="1"/>
    <xf numFmtId="0" fontId="2" fillId="0" borderId="14" xfId="0" applyFont="1" applyBorder="1"/>
    <xf numFmtId="0" fontId="2" fillId="0" borderId="10" xfId="0" applyFont="1" applyBorder="1"/>
    <xf numFmtId="2" fontId="2" fillId="3" borderId="22" xfId="0" applyNumberFormat="1" applyFont="1" applyFill="1" applyBorder="1"/>
    <xf numFmtId="2" fontId="40" fillId="3" borderId="22" xfId="0" applyNumberFormat="1" applyFont="1" applyFill="1" applyBorder="1"/>
    <xf numFmtId="0" fontId="25" fillId="0" borderId="0" xfId="0" applyFont="1" applyAlignment="1">
      <alignment wrapText="1"/>
    </xf>
    <xf numFmtId="171" fontId="29" fillId="0" borderId="10" xfId="0" applyNumberFormat="1" applyFont="1" applyBorder="1"/>
    <xf numFmtId="209" fontId="5" fillId="0" borderId="11" xfId="0" applyNumberFormat="1" applyFont="1" applyBorder="1"/>
    <xf numFmtId="0" fontId="5" fillId="0" borderId="11" xfId="0" applyFont="1" applyFill="1" applyBorder="1"/>
    <xf numFmtId="0" fontId="0" fillId="0" borderId="5" xfId="0" applyBorder="1"/>
    <xf numFmtId="0" fontId="0" fillId="0" borderId="12" xfId="0" applyBorder="1"/>
    <xf numFmtId="0" fontId="0" fillId="0" borderId="6" xfId="0" applyBorder="1"/>
    <xf numFmtId="0" fontId="5" fillId="0" borderId="32" xfId="0" applyFont="1" applyBorder="1"/>
    <xf numFmtId="0" fontId="5" fillId="0" borderId="20" xfId="0" applyFont="1" applyBorder="1"/>
    <xf numFmtId="0" fontId="5" fillId="0" borderId="33" xfId="0" applyFont="1" applyBorder="1"/>
    <xf numFmtId="0" fontId="4" fillId="0" borderId="8" xfId="0" applyFont="1" applyBorder="1"/>
    <xf numFmtId="209" fontId="5" fillId="0" borderId="35" xfId="0" applyNumberFormat="1" applyFont="1" applyBorder="1"/>
    <xf numFmtId="2" fontId="4" fillId="0" borderId="13" xfId="0" applyNumberFormat="1" applyFont="1" applyBorder="1"/>
    <xf numFmtId="0" fontId="41" fillId="0" borderId="0" xfId="0" applyFont="1"/>
    <xf numFmtId="1" fontId="26" fillId="0" borderId="0" xfId="0" applyNumberFormat="1" applyFont="1" applyAlignment="1">
      <alignment horizontal="center"/>
    </xf>
    <xf numFmtId="0" fontId="18" fillId="0" borderId="4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" fontId="10" fillId="0" borderId="40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J40" sqref="J40"/>
    </sheetView>
  </sheetViews>
  <sheetFormatPr defaultRowHeight="12.75"/>
  <cols>
    <col min="1" max="1" width="4.85546875" customWidth="1"/>
    <col min="3" max="3" width="16.140625" customWidth="1"/>
    <col min="4" max="4" width="10.28515625" customWidth="1"/>
    <col min="5" max="5" width="14.28515625" customWidth="1"/>
    <col min="6" max="6" width="12" customWidth="1"/>
    <col min="7" max="7" width="17.28515625" customWidth="1"/>
  </cols>
  <sheetData>
    <row r="1" spans="1:7" ht="20.25">
      <c r="B1" s="130" t="s">
        <v>81</v>
      </c>
    </row>
    <row r="2" spans="1:7" ht="20.25">
      <c r="C2" s="143" t="s">
        <v>167</v>
      </c>
      <c r="D2" s="143"/>
      <c r="E2" s="143"/>
      <c r="F2" s="143"/>
      <c r="G2" s="143"/>
    </row>
    <row r="3" spans="1:7" ht="20.25" customHeight="1">
      <c r="E3" s="117" t="s">
        <v>158</v>
      </c>
    </row>
    <row r="4" spans="1:7" ht="18.75" customHeight="1">
      <c r="A4" s="154" t="s">
        <v>164</v>
      </c>
      <c r="B4" s="97" t="s">
        <v>82</v>
      </c>
      <c r="C4" s="97" t="s">
        <v>83</v>
      </c>
      <c r="D4" s="97"/>
      <c r="E4" s="97" t="s">
        <v>84</v>
      </c>
      <c r="F4" s="97" t="s">
        <v>85</v>
      </c>
      <c r="G4" s="97" t="s">
        <v>86</v>
      </c>
    </row>
    <row r="5" spans="1:7" ht="18.75" customHeight="1">
      <c r="B5" s="97"/>
      <c r="C5" s="97"/>
      <c r="D5" s="97" t="s">
        <v>168</v>
      </c>
      <c r="E5" s="97" t="s">
        <v>114</v>
      </c>
      <c r="F5" s="97"/>
      <c r="G5" s="97" t="s">
        <v>87</v>
      </c>
    </row>
    <row r="6" spans="1:7" ht="18.75" customHeight="1">
      <c r="B6" s="142">
        <v>2271</v>
      </c>
      <c r="C6" s="157" t="s">
        <v>169</v>
      </c>
      <c r="D6" s="157">
        <v>333.08</v>
      </c>
      <c r="E6" s="157">
        <v>438452.29</v>
      </c>
      <c r="F6" s="157">
        <v>440700</v>
      </c>
      <c r="G6" s="157">
        <f>E6-F6</f>
        <v>-2247.710000000021</v>
      </c>
    </row>
    <row r="7" spans="1:7" ht="18.75" customHeight="1">
      <c r="B7" s="97"/>
      <c r="C7" s="157" t="s">
        <v>170</v>
      </c>
      <c r="D7" s="157">
        <v>35</v>
      </c>
      <c r="E7" s="157">
        <f>D7*1429</f>
        <v>50015</v>
      </c>
      <c r="F7" s="157">
        <v>50000</v>
      </c>
      <c r="G7" s="157">
        <f>E7-F7</f>
        <v>15</v>
      </c>
    </row>
    <row r="8" spans="1:7" ht="18.75" customHeight="1">
      <c r="B8" s="97"/>
      <c r="C8" s="157" t="s">
        <v>171</v>
      </c>
      <c r="D8" s="157">
        <v>80</v>
      </c>
      <c r="E8" s="157">
        <f>D8*1429</f>
        <v>114320</v>
      </c>
      <c r="F8" s="157">
        <v>72100</v>
      </c>
      <c r="G8" s="157">
        <f>E8-F8</f>
        <v>42220</v>
      </c>
    </row>
    <row r="9" spans="1:7" ht="18.75" customHeight="1">
      <c r="B9" s="97"/>
      <c r="C9" s="157" t="s">
        <v>172</v>
      </c>
      <c r="D9" s="157">
        <v>120</v>
      </c>
      <c r="E9" s="157">
        <f>D9*1429</f>
        <v>171480</v>
      </c>
      <c r="F9" s="157">
        <v>37200</v>
      </c>
      <c r="G9" s="157">
        <f>E9-F9</f>
        <v>134280</v>
      </c>
    </row>
    <row r="10" spans="1:7" ht="18.75" customHeight="1">
      <c r="B10" s="97"/>
      <c r="C10" s="157" t="s">
        <v>103</v>
      </c>
      <c r="D10" s="157">
        <f>SUM(D6:D9)</f>
        <v>568.07999999999993</v>
      </c>
      <c r="E10" s="157">
        <f>SUM(E6:E9)</f>
        <v>774267.29</v>
      </c>
      <c r="F10" s="157">
        <f>SUM(F6:F9)</f>
        <v>600000</v>
      </c>
      <c r="G10" s="142">
        <f>SUM(G6:G9)</f>
        <v>174267.28999999998</v>
      </c>
    </row>
    <row r="11" spans="1:7" ht="18.75" customHeight="1">
      <c r="A11">
        <v>2</v>
      </c>
      <c r="B11" s="142">
        <v>2273</v>
      </c>
      <c r="C11" s="155" t="s">
        <v>161</v>
      </c>
      <c r="D11" s="131"/>
      <c r="E11" s="98">
        <v>5802.77</v>
      </c>
      <c r="F11" s="98"/>
      <c r="G11" s="98">
        <f t="shared" ref="G11:G17" si="0">E11-F11</f>
        <v>5802.77</v>
      </c>
    </row>
    <row r="12" spans="1:7" ht="18.75" customHeight="1">
      <c r="B12" s="99"/>
      <c r="C12" s="155" t="s">
        <v>159</v>
      </c>
      <c r="D12" s="131">
        <v>3200</v>
      </c>
      <c r="E12" s="98">
        <f t="shared" ref="E12:E17" si="1">D12*1.72</f>
        <v>5504</v>
      </c>
      <c r="F12" s="98">
        <v>13000</v>
      </c>
      <c r="G12" s="98">
        <f t="shared" si="0"/>
        <v>-7496</v>
      </c>
    </row>
    <row r="13" spans="1:7" ht="18.75" customHeight="1">
      <c r="B13" s="99"/>
      <c r="C13" s="155" t="s">
        <v>160</v>
      </c>
      <c r="D13" s="131">
        <v>3600</v>
      </c>
      <c r="E13" s="98">
        <f t="shared" si="1"/>
        <v>6192</v>
      </c>
      <c r="F13" s="98">
        <v>2000</v>
      </c>
      <c r="G13" s="98">
        <f t="shared" si="0"/>
        <v>4192</v>
      </c>
    </row>
    <row r="14" spans="1:7" ht="18.75" customHeight="1">
      <c r="B14" s="98"/>
      <c r="C14" s="131" t="s">
        <v>110</v>
      </c>
      <c r="D14" s="131">
        <v>7000</v>
      </c>
      <c r="E14" s="98">
        <f t="shared" si="1"/>
        <v>12040</v>
      </c>
      <c r="F14" s="98">
        <v>9000</v>
      </c>
      <c r="G14" s="98">
        <f t="shared" si="0"/>
        <v>3040</v>
      </c>
    </row>
    <row r="15" spans="1:7" ht="18.75" customHeight="1">
      <c r="B15" s="98"/>
      <c r="C15" s="131" t="s">
        <v>111</v>
      </c>
      <c r="D15" s="131">
        <v>8300</v>
      </c>
      <c r="E15" s="98">
        <f t="shared" si="1"/>
        <v>14276</v>
      </c>
      <c r="F15" s="98">
        <v>10000</v>
      </c>
      <c r="G15" s="98">
        <f t="shared" si="0"/>
        <v>4276</v>
      </c>
    </row>
    <row r="16" spans="1:7" ht="18.75" customHeight="1">
      <c r="B16" s="98"/>
      <c r="C16" s="131" t="s">
        <v>112</v>
      </c>
      <c r="D16" s="131">
        <v>8300</v>
      </c>
      <c r="E16" s="98">
        <f t="shared" si="1"/>
        <v>14276</v>
      </c>
      <c r="F16" s="98">
        <v>10000</v>
      </c>
      <c r="G16" s="98">
        <f t="shared" si="0"/>
        <v>4276</v>
      </c>
    </row>
    <row r="17" spans="1:7" ht="18.75" customHeight="1">
      <c r="B17" s="98"/>
      <c r="C17" s="131" t="s">
        <v>113</v>
      </c>
      <c r="D17" s="131">
        <v>8300</v>
      </c>
      <c r="E17" s="98">
        <f t="shared" si="1"/>
        <v>14276</v>
      </c>
      <c r="F17" s="98">
        <v>11000</v>
      </c>
      <c r="G17" s="98">
        <f t="shared" si="0"/>
        <v>3276</v>
      </c>
    </row>
    <row r="18" spans="1:7" s="118" customFormat="1" ht="18.75" customHeight="1">
      <c r="B18" s="132" t="s">
        <v>89</v>
      </c>
      <c r="C18" s="132"/>
      <c r="D18" s="132"/>
      <c r="E18" s="141">
        <f>SUM(E11:E17)</f>
        <v>72366.77</v>
      </c>
      <c r="F18" s="141">
        <f>SUM(F11:F17)</f>
        <v>55000</v>
      </c>
      <c r="G18" s="132">
        <f>SUM(G11:G17)</f>
        <v>17366.77</v>
      </c>
    </row>
    <row r="19" spans="1:7">
      <c r="A19" s="154">
        <v>3</v>
      </c>
      <c r="B19" s="95" t="s">
        <v>115</v>
      </c>
    </row>
    <row r="20" spans="1:7">
      <c r="B20" t="s">
        <v>162</v>
      </c>
      <c r="E20">
        <f>170*8.73*80</f>
        <v>118728.00000000001</v>
      </c>
    </row>
    <row r="21" spans="1:7">
      <c r="D21" t="s">
        <v>85</v>
      </c>
      <c r="E21">
        <v>68000</v>
      </c>
    </row>
    <row r="22" spans="1:7" ht="18" customHeight="1">
      <c r="D22" t="s">
        <v>116</v>
      </c>
      <c r="E22" s="130">
        <f>E21-E20</f>
        <v>-50728.000000000015</v>
      </c>
      <c r="F22" s="145" t="s">
        <v>163</v>
      </c>
      <c r="G22" s="190">
        <v>50728</v>
      </c>
    </row>
    <row r="23" spans="1:7" ht="20.25">
      <c r="A23" s="154">
        <v>4</v>
      </c>
      <c r="B23" s="154" t="s">
        <v>165</v>
      </c>
      <c r="C23" s="98"/>
      <c r="D23" s="98">
        <v>131005.63</v>
      </c>
      <c r="E23" s="130"/>
      <c r="F23" s="145"/>
      <c r="G23" s="144"/>
    </row>
    <row r="24" spans="1:7" ht="20.25">
      <c r="C24" s="155" t="s">
        <v>166</v>
      </c>
      <c r="D24" s="98">
        <v>34334.300000000003</v>
      </c>
      <c r="E24" s="130"/>
      <c r="F24" s="145"/>
      <c r="G24" s="144"/>
    </row>
    <row r="25" spans="1:7">
      <c r="C25" s="155" t="s">
        <v>121</v>
      </c>
      <c r="D25" s="99">
        <f>SUM(D23:D24)</f>
        <v>165339.93</v>
      </c>
    </row>
    <row r="26" spans="1:7" ht="15">
      <c r="B26" s="97" t="s">
        <v>82</v>
      </c>
      <c r="C26" s="97" t="s">
        <v>83</v>
      </c>
      <c r="D26" s="97"/>
      <c r="E26" s="97" t="s">
        <v>84</v>
      </c>
      <c r="F26" s="97" t="s">
        <v>85</v>
      </c>
      <c r="G26" s="97" t="s">
        <v>86</v>
      </c>
    </row>
    <row r="27" spans="1:7" ht="15">
      <c r="B27" s="180"/>
      <c r="C27" s="180"/>
      <c r="D27" s="180"/>
      <c r="E27" s="180" t="s">
        <v>114</v>
      </c>
      <c r="F27" s="180"/>
      <c r="G27" s="180" t="s">
        <v>87</v>
      </c>
    </row>
    <row r="28" spans="1:7" ht="18">
      <c r="B28" s="187">
        <v>2111</v>
      </c>
      <c r="C28" s="179" t="s">
        <v>45</v>
      </c>
      <c r="D28" s="98"/>
      <c r="E28" s="98">
        <v>327157.86</v>
      </c>
      <c r="F28" s="98">
        <v>535427.92000000004</v>
      </c>
      <c r="G28" s="109">
        <f>E28-F28</f>
        <v>-208270.06000000006</v>
      </c>
    </row>
    <row r="29" spans="1:7">
      <c r="B29" s="108"/>
      <c r="C29" s="179" t="s">
        <v>47</v>
      </c>
      <c r="D29" s="98"/>
      <c r="E29" s="98">
        <v>130178.92</v>
      </c>
      <c r="F29" s="98">
        <v>135100</v>
      </c>
      <c r="G29" s="109">
        <f t="shared" ref="G29:G34" si="2">E29-F29</f>
        <v>-4921.0800000000017</v>
      </c>
    </row>
    <row r="30" spans="1:7">
      <c r="B30" s="108"/>
      <c r="C30" s="179" t="s">
        <v>48</v>
      </c>
      <c r="D30" s="98"/>
      <c r="E30" s="98">
        <v>132712</v>
      </c>
      <c r="F30" s="98">
        <v>100000</v>
      </c>
      <c r="G30" s="109">
        <f t="shared" si="2"/>
        <v>32712</v>
      </c>
    </row>
    <row r="31" spans="1:7">
      <c r="B31" s="108"/>
      <c r="C31" s="155" t="s">
        <v>49</v>
      </c>
      <c r="D31" s="98"/>
      <c r="E31" s="98">
        <v>165400</v>
      </c>
      <c r="F31" s="98">
        <v>167100</v>
      </c>
      <c r="G31" s="109">
        <f t="shared" si="2"/>
        <v>-1700</v>
      </c>
    </row>
    <row r="32" spans="1:7">
      <c r="B32" s="108"/>
      <c r="C32" s="155" t="s">
        <v>51</v>
      </c>
      <c r="D32" s="98"/>
      <c r="E32" s="98">
        <v>165400</v>
      </c>
      <c r="F32" s="98">
        <v>143100</v>
      </c>
      <c r="G32" s="109">
        <f t="shared" si="2"/>
        <v>22300</v>
      </c>
    </row>
    <row r="33" spans="1:7">
      <c r="B33" s="108"/>
      <c r="C33" s="155" t="s">
        <v>52</v>
      </c>
      <c r="D33" s="98"/>
      <c r="E33" s="98">
        <v>165400</v>
      </c>
      <c r="F33" s="98">
        <v>76700</v>
      </c>
      <c r="G33" s="109">
        <f t="shared" si="2"/>
        <v>88700</v>
      </c>
    </row>
    <row r="34" spans="1:7">
      <c r="B34" s="108"/>
      <c r="C34" s="155" t="s">
        <v>53</v>
      </c>
      <c r="D34" s="98"/>
      <c r="E34" s="98">
        <v>165400</v>
      </c>
      <c r="F34" s="98">
        <v>89300</v>
      </c>
      <c r="G34" s="109">
        <f t="shared" si="2"/>
        <v>76100</v>
      </c>
    </row>
    <row r="35" spans="1:7" ht="21" thickBot="1">
      <c r="B35" s="182"/>
      <c r="C35" s="183" t="s">
        <v>103</v>
      </c>
      <c r="D35" s="171"/>
      <c r="E35" s="171">
        <f>SUM(E28:E34)</f>
        <v>1251648.78</v>
      </c>
      <c r="F35" s="171">
        <f>SUM(F28:F34)</f>
        <v>1246727.92</v>
      </c>
      <c r="G35" s="185">
        <f>SUM(G28:G34)</f>
        <v>4920.8599999999278</v>
      </c>
    </row>
    <row r="36" spans="1:7" ht="18.75" customHeight="1" thickBot="1">
      <c r="B36" s="188">
        <v>2120</v>
      </c>
      <c r="C36" s="181" t="s">
        <v>45</v>
      </c>
      <c r="D36" s="113"/>
      <c r="E36" s="113">
        <v>115866.61</v>
      </c>
      <c r="F36" s="113">
        <v>193746.87</v>
      </c>
      <c r="G36" s="184">
        <f>E36-F36</f>
        <v>-77880.259999999995</v>
      </c>
    </row>
    <row r="37" spans="1:7" ht="13.5" thickBot="1">
      <c r="B37" s="108"/>
      <c r="C37" s="179" t="s">
        <v>47</v>
      </c>
      <c r="D37" s="98"/>
      <c r="E37" s="115">
        <v>49817.99</v>
      </c>
      <c r="F37" s="98">
        <v>49000</v>
      </c>
      <c r="G37" s="184">
        <f t="shared" ref="G37:G42" si="3">E37-F37</f>
        <v>817.98999999999796</v>
      </c>
    </row>
    <row r="38" spans="1:7" ht="13.5" thickBot="1">
      <c r="B38" s="108"/>
      <c r="C38" s="179" t="s">
        <v>48</v>
      </c>
      <c r="D38" s="98"/>
      <c r="E38" s="115">
        <f>E30*36.3/100</f>
        <v>48174.455999999998</v>
      </c>
      <c r="F38" s="98">
        <v>36300</v>
      </c>
      <c r="G38" s="184">
        <f t="shared" si="3"/>
        <v>11874.455999999998</v>
      </c>
    </row>
    <row r="39" spans="1:7" ht="13.5" thickBot="1">
      <c r="B39" s="108"/>
      <c r="C39" s="155" t="s">
        <v>49</v>
      </c>
      <c r="D39" s="98"/>
      <c r="E39" s="98">
        <f>E31*36.3/100</f>
        <v>60040.19999999999</v>
      </c>
      <c r="F39" s="98">
        <v>60700</v>
      </c>
      <c r="G39" s="184">
        <f t="shared" si="3"/>
        <v>-659.80000000001019</v>
      </c>
    </row>
    <row r="40" spans="1:7" ht="13.5" thickBot="1">
      <c r="B40" s="108"/>
      <c r="C40" s="155" t="s">
        <v>51</v>
      </c>
      <c r="D40" s="98"/>
      <c r="E40" s="98">
        <f>E32*36.3/100</f>
        <v>60040.19999999999</v>
      </c>
      <c r="F40" s="98">
        <v>51900</v>
      </c>
      <c r="G40" s="184">
        <f t="shared" si="3"/>
        <v>8140.1999999999898</v>
      </c>
    </row>
    <row r="41" spans="1:7" ht="13.5" thickBot="1">
      <c r="B41" s="108"/>
      <c r="C41" s="155" t="s">
        <v>52</v>
      </c>
      <c r="D41" s="98"/>
      <c r="E41" s="98">
        <f>E33*36.3/100</f>
        <v>60040.19999999999</v>
      </c>
      <c r="F41" s="98">
        <v>27800</v>
      </c>
      <c r="G41" s="184">
        <f t="shared" si="3"/>
        <v>32240.19999999999</v>
      </c>
    </row>
    <row r="42" spans="1:7">
      <c r="B42" s="108"/>
      <c r="C42" s="155" t="s">
        <v>53</v>
      </c>
      <c r="D42" s="98"/>
      <c r="E42" s="98">
        <f>E34*36.3/100</f>
        <v>60040.19999999999</v>
      </c>
      <c r="F42" s="98">
        <v>32200</v>
      </c>
      <c r="G42" s="184">
        <f t="shared" si="3"/>
        <v>27840.19999999999</v>
      </c>
    </row>
    <row r="43" spans="1:7" ht="18.75" customHeight="1" thickBot="1">
      <c r="B43" s="182"/>
      <c r="C43" s="183" t="s">
        <v>103</v>
      </c>
      <c r="D43" s="171"/>
      <c r="E43" s="171">
        <f>SUM(E36:E42)</f>
        <v>454019.85600000003</v>
      </c>
      <c r="F43" s="171">
        <f>SUM(F36:F42)</f>
        <v>451646.87</v>
      </c>
      <c r="G43" s="186">
        <f>SUM(G36:G42)</f>
        <v>2372.985999999968</v>
      </c>
    </row>
    <row r="45" spans="1:7" ht="20.25">
      <c r="A45" s="191" t="s">
        <v>173</v>
      </c>
      <c r="E45" s="228">
        <f>G43+G35+G18+G10+G22</f>
        <v>249655.90599999987</v>
      </c>
      <c r="F45" s="228"/>
      <c r="G45" s="189">
        <f>G43+G35+G22+G18+G10</f>
        <v>249655.90599999987</v>
      </c>
    </row>
  </sheetData>
  <mergeCells count="1">
    <mergeCell ref="E45:F4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/>
  </sheetViews>
  <sheetFormatPr defaultRowHeight="12.75"/>
  <cols>
    <col min="1" max="1" width="11.7109375" customWidth="1"/>
    <col min="2" max="2" width="9.7109375" customWidth="1"/>
    <col min="3" max="3" width="11.85546875" customWidth="1"/>
    <col min="5" max="5" width="11" customWidth="1"/>
    <col min="7" max="7" width="11.5703125" customWidth="1"/>
  </cols>
  <sheetData>
    <row r="1" spans="1:7" ht="18">
      <c r="A1" s="133" t="s">
        <v>92</v>
      </c>
    </row>
    <row r="3" spans="1:7" ht="20.25">
      <c r="B3" s="130" t="s">
        <v>93</v>
      </c>
    </row>
    <row r="4" spans="1:7">
      <c r="B4" s="95" t="s">
        <v>95</v>
      </c>
    </row>
    <row r="6" spans="1:7" ht="15">
      <c r="B6" s="134" t="s">
        <v>94</v>
      </c>
    </row>
    <row r="8" spans="1:7" ht="18.75" thickBot="1">
      <c r="A8" s="133" t="s">
        <v>96</v>
      </c>
    </row>
    <row r="9" spans="1:7" ht="18">
      <c r="A9" s="135"/>
      <c r="B9" s="252" t="s">
        <v>99</v>
      </c>
      <c r="C9" s="253"/>
      <c r="D9" s="252" t="s">
        <v>100</v>
      </c>
      <c r="E9" s="253"/>
      <c r="F9" s="252" t="s">
        <v>101</v>
      </c>
      <c r="G9" s="253"/>
    </row>
    <row r="10" spans="1:7">
      <c r="A10" s="102" t="s">
        <v>83</v>
      </c>
      <c r="B10" s="138" t="s">
        <v>85</v>
      </c>
      <c r="C10" s="111" t="s">
        <v>97</v>
      </c>
      <c r="D10" s="138" t="s">
        <v>85</v>
      </c>
      <c r="E10" s="111" t="s">
        <v>97</v>
      </c>
      <c r="F10" s="138" t="s">
        <v>85</v>
      </c>
      <c r="G10" s="111" t="s">
        <v>97</v>
      </c>
    </row>
    <row r="11" spans="1:7">
      <c r="A11" s="102"/>
      <c r="B11" s="138"/>
      <c r="C11" s="111" t="s">
        <v>98</v>
      </c>
      <c r="D11" s="138"/>
      <c r="E11" s="111" t="s">
        <v>98</v>
      </c>
      <c r="F11" s="138"/>
      <c r="G11" s="111" t="s">
        <v>98</v>
      </c>
    </row>
    <row r="12" spans="1:7">
      <c r="A12" s="136" t="s">
        <v>38</v>
      </c>
      <c r="B12" s="139">
        <v>7800</v>
      </c>
      <c r="C12" s="109">
        <v>7933</v>
      </c>
      <c r="D12" s="139">
        <v>6700</v>
      </c>
      <c r="E12" s="109">
        <v>4031</v>
      </c>
      <c r="F12" s="139">
        <v>6500</v>
      </c>
      <c r="G12" s="109">
        <v>9895</v>
      </c>
    </row>
    <row r="13" spans="1:7">
      <c r="A13" s="136" t="s">
        <v>39</v>
      </c>
      <c r="B13" s="139">
        <v>5800</v>
      </c>
      <c r="C13" s="109">
        <v>9494</v>
      </c>
      <c r="D13" s="139">
        <v>6800</v>
      </c>
      <c r="E13" s="109">
        <v>10666</v>
      </c>
      <c r="F13" s="139">
        <v>6500</v>
      </c>
      <c r="G13" s="109">
        <v>10745</v>
      </c>
    </row>
    <row r="14" spans="1:7">
      <c r="A14" s="136" t="s">
        <v>102</v>
      </c>
      <c r="B14" s="139">
        <v>5000</v>
      </c>
      <c r="C14" s="109">
        <v>7850</v>
      </c>
      <c r="D14" s="139">
        <v>9642</v>
      </c>
      <c r="E14" s="109">
        <v>8443</v>
      </c>
      <c r="F14" s="139">
        <v>6500</v>
      </c>
      <c r="G14" s="109">
        <v>10269</v>
      </c>
    </row>
    <row r="15" spans="1:7">
      <c r="A15" s="136" t="s">
        <v>43</v>
      </c>
      <c r="B15" s="139">
        <v>11500</v>
      </c>
      <c r="C15" s="109">
        <v>5365</v>
      </c>
      <c r="D15" s="139">
        <v>6800</v>
      </c>
      <c r="E15" s="109">
        <v>7552</v>
      </c>
      <c r="F15" s="139">
        <v>6500</v>
      </c>
      <c r="G15" s="109">
        <v>9860</v>
      </c>
    </row>
    <row r="16" spans="1:7">
      <c r="A16" s="136" t="s">
        <v>44</v>
      </c>
      <c r="B16" s="139">
        <v>4000</v>
      </c>
      <c r="C16" s="109">
        <v>4744</v>
      </c>
      <c r="D16" s="139">
        <v>6700</v>
      </c>
      <c r="E16" s="109">
        <v>5446</v>
      </c>
      <c r="F16" s="139">
        <v>6000</v>
      </c>
      <c r="G16" s="109"/>
    </row>
    <row r="17" spans="1:7">
      <c r="A17" s="136" t="s">
        <v>45</v>
      </c>
      <c r="B17" s="139">
        <v>2000</v>
      </c>
      <c r="C17" s="109">
        <v>2543</v>
      </c>
      <c r="D17" s="139">
        <v>6700</v>
      </c>
      <c r="E17" s="109">
        <v>3438</v>
      </c>
      <c r="F17" s="139">
        <v>4500</v>
      </c>
      <c r="G17" s="109"/>
    </row>
    <row r="18" spans="1:7">
      <c r="A18" s="136" t="s">
        <v>47</v>
      </c>
      <c r="B18" s="139">
        <v>1000</v>
      </c>
      <c r="C18" s="109">
        <v>1304</v>
      </c>
      <c r="D18" s="139">
        <v>6000</v>
      </c>
      <c r="E18" s="109">
        <v>1796</v>
      </c>
      <c r="F18" s="139">
        <v>4000</v>
      </c>
      <c r="G18" s="109"/>
    </row>
    <row r="19" spans="1:7">
      <c r="A19" s="136" t="s">
        <v>48</v>
      </c>
      <c r="B19" s="139">
        <v>2000</v>
      </c>
      <c r="C19" s="109">
        <v>478</v>
      </c>
      <c r="D19" s="139">
        <v>8788</v>
      </c>
      <c r="E19" s="109">
        <v>1036</v>
      </c>
      <c r="F19" s="139">
        <v>4000</v>
      </c>
      <c r="G19" s="109"/>
    </row>
    <row r="20" spans="1:7">
      <c r="A20" s="136" t="s">
        <v>49</v>
      </c>
      <c r="B20" s="139">
        <v>7200</v>
      </c>
      <c r="C20" s="109">
        <v>1394</v>
      </c>
      <c r="D20" s="139">
        <v>3300</v>
      </c>
      <c r="E20" s="109">
        <v>2138</v>
      </c>
      <c r="F20" s="139">
        <v>6000</v>
      </c>
      <c r="G20" s="109"/>
    </row>
    <row r="21" spans="1:7">
      <c r="A21" s="136" t="s">
        <v>51</v>
      </c>
      <c r="B21" s="139">
        <v>16500</v>
      </c>
      <c r="C21" s="109">
        <v>3956</v>
      </c>
      <c r="D21" s="139">
        <v>3600</v>
      </c>
      <c r="E21" s="109">
        <v>4939</v>
      </c>
      <c r="F21" s="139">
        <v>6500</v>
      </c>
      <c r="G21" s="109"/>
    </row>
    <row r="22" spans="1:7">
      <c r="A22" s="136" t="s">
        <v>52</v>
      </c>
      <c r="B22" s="139">
        <v>7000</v>
      </c>
      <c r="C22" s="109">
        <v>7685</v>
      </c>
      <c r="D22" s="139">
        <v>650</v>
      </c>
      <c r="E22" s="109">
        <v>7642</v>
      </c>
      <c r="F22" s="139">
        <v>6500</v>
      </c>
      <c r="G22" s="109"/>
    </row>
    <row r="23" spans="1:7">
      <c r="A23" s="136" t="s">
        <v>53</v>
      </c>
      <c r="B23" s="139">
        <v>0</v>
      </c>
      <c r="C23" s="109">
        <v>13365</v>
      </c>
      <c r="D23" s="139">
        <v>8</v>
      </c>
      <c r="E23" s="109">
        <v>8827</v>
      </c>
      <c r="F23" s="139">
        <v>6500</v>
      </c>
      <c r="G23" s="109"/>
    </row>
    <row r="24" spans="1:7">
      <c r="A24" s="101"/>
      <c r="B24" s="139"/>
      <c r="C24" s="109"/>
      <c r="D24" s="139"/>
      <c r="E24" s="109"/>
      <c r="F24" s="139"/>
      <c r="G24" s="109"/>
    </row>
    <row r="25" spans="1:7" ht="13.5" thickBot="1">
      <c r="A25" s="136" t="s">
        <v>103</v>
      </c>
      <c r="B25" s="140">
        <f t="shared" ref="B25:G25" si="0">SUM(B12:B24)</f>
        <v>69800</v>
      </c>
      <c r="C25" s="137">
        <f t="shared" si="0"/>
        <v>66111</v>
      </c>
      <c r="D25" s="140">
        <f t="shared" si="0"/>
        <v>65688</v>
      </c>
      <c r="E25" s="137">
        <f t="shared" si="0"/>
        <v>65954</v>
      </c>
      <c r="F25" s="140">
        <f t="shared" si="0"/>
        <v>70000</v>
      </c>
      <c r="G25" s="137">
        <f t="shared" si="0"/>
        <v>40769</v>
      </c>
    </row>
    <row r="27" spans="1:7">
      <c r="A27" s="119" t="s">
        <v>104</v>
      </c>
    </row>
    <row r="30" spans="1:7">
      <c r="B30" s="119" t="s">
        <v>90</v>
      </c>
      <c r="D30" s="119" t="s">
        <v>91</v>
      </c>
    </row>
  </sheetData>
  <mergeCells count="3">
    <mergeCell ref="B9:C9"/>
    <mergeCell ref="D9:E9"/>
    <mergeCell ref="F9:G9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I24" sqref="I24"/>
    </sheetView>
  </sheetViews>
  <sheetFormatPr defaultRowHeight="12.75"/>
  <cols>
    <col min="1" max="1" width="24" customWidth="1"/>
    <col min="2" max="2" width="11.28515625" customWidth="1"/>
    <col min="4" max="4" width="12.85546875" customWidth="1"/>
    <col min="5" max="5" width="10.85546875" customWidth="1"/>
    <col min="6" max="6" width="11" customWidth="1"/>
    <col min="7" max="7" width="14.42578125" customWidth="1"/>
  </cols>
  <sheetData>
    <row r="1" spans="1:7" ht="18">
      <c r="A1" s="133" t="s">
        <v>92</v>
      </c>
    </row>
    <row r="3" spans="1:7" ht="18">
      <c r="B3" s="133"/>
      <c r="C3" s="133" t="s">
        <v>135</v>
      </c>
    </row>
    <row r="4" spans="1:7" ht="18">
      <c r="B4" s="133" t="s">
        <v>136</v>
      </c>
      <c r="C4" s="133"/>
    </row>
    <row r="5" spans="1:7" ht="13.5" thickBot="1"/>
    <row r="6" spans="1:7" s="6" customFormat="1" ht="15.75">
      <c r="A6" s="162"/>
      <c r="B6" s="260">
        <v>2013</v>
      </c>
      <c r="C6" s="260"/>
      <c r="D6" s="260"/>
      <c r="E6" s="260">
        <v>2014</v>
      </c>
      <c r="F6" s="260"/>
      <c r="G6" s="261"/>
    </row>
    <row r="7" spans="1:7" s="95" customFormat="1" ht="15">
      <c r="A7" s="110"/>
      <c r="B7" s="97" t="s">
        <v>137</v>
      </c>
      <c r="C7" s="97"/>
      <c r="D7" s="97"/>
      <c r="E7" s="97" t="s">
        <v>139</v>
      </c>
      <c r="F7" s="97"/>
      <c r="G7" s="107"/>
    </row>
    <row r="8" spans="1:7">
      <c r="A8" s="108"/>
      <c r="B8" s="155" t="s">
        <v>30</v>
      </c>
      <c r="C8" s="155" t="s">
        <v>138</v>
      </c>
      <c r="D8" s="155" t="s">
        <v>11</v>
      </c>
      <c r="E8" s="155" t="s">
        <v>30</v>
      </c>
      <c r="F8" s="155" t="s">
        <v>138</v>
      </c>
      <c r="G8" s="163" t="s">
        <v>11</v>
      </c>
    </row>
    <row r="9" spans="1:7" ht="14.25">
      <c r="A9" s="164" t="s">
        <v>52</v>
      </c>
      <c r="B9" s="158">
        <v>64.81</v>
      </c>
      <c r="C9" s="158">
        <v>1198.8599999999999</v>
      </c>
      <c r="D9" s="158">
        <f>B9*C9</f>
        <v>77698.116599999994</v>
      </c>
      <c r="E9" s="158">
        <v>90</v>
      </c>
      <c r="F9" s="158">
        <f>C9</f>
        <v>1198.8599999999999</v>
      </c>
      <c r="G9" s="165">
        <f>E9*F9</f>
        <v>107897.4</v>
      </c>
    </row>
    <row r="10" spans="1:7" ht="14.25">
      <c r="A10" s="164" t="s">
        <v>53</v>
      </c>
      <c r="B10" s="158">
        <v>112.07</v>
      </c>
      <c r="C10" s="158">
        <v>1198.8599999999999</v>
      </c>
      <c r="D10" s="158">
        <f>B10*C10</f>
        <v>134356.24019999997</v>
      </c>
      <c r="E10" s="158">
        <v>116</v>
      </c>
      <c r="F10" s="158">
        <f>C10</f>
        <v>1198.8599999999999</v>
      </c>
      <c r="G10" s="165">
        <f>E10*F10</f>
        <v>139067.75999999998</v>
      </c>
    </row>
    <row r="11" spans="1:7" s="6" customFormat="1" ht="16.5" thickBot="1">
      <c r="A11" s="166" t="s">
        <v>88</v>
      </c>
      <c r="B11" s="167">
        <f>SUM(B9:B10)</f>
        <v>176.88</v>
      </c>
      <c r="C11" s="167"/>
      <c r="D11" s="167">
        <f>SUM(D9:D10)</f>
        <v>212054.35679999995</v>
      </c>
      <c r="E11" s="167">
        <f>SUM(E9:E10)</f>
        <v>206</v>
      </c>
      <c r="F11" s="167"/>
      <c r="G11" s="168">
        <f>SUM(G9:G10)</f>
        <v>246965.15999999997</v>
      </c>
    </row>
    <row r="12" spans="1:7" s="6" customFormat="1" ht="15.75">
      <c r="A12" s="161"/>
      <c r="B12" s="159"/>
      <c r="C12" s="159"/>
      <c r="D12" s="159"/>
      <c r="E12" s="159"/>
      <c r="F12" s="159"/>
      <c r="G12" s="159"/>
    </row>
    <row r="13" spans="1:7" s="156" customFormat="1" ht="26.25" customHeight="1">
      <c r="A13" s="259" t="s">
        <v>145</v>
      </c>
      <c r="B13" s="259"/>
      <c r="C13" s="259"/>
      <c r="D13" s="259"/>
      <c r="E13" s="259"/>
      <c r="F13" s="259"/>
      <c r="G13" s="157"/>
    </row>
    <row r="14" spans="1:7" s="156" customFormat="1" ht="14.25">
      <c r="A14" s="267" t="s">
        <v>141</v>
      </c>
      <c r="B14" s="267"/>
      <c r="C14" s="267"/>
      <c r="D14" s="267"/>
      <c r="E14" s="267"/>
      <c r="F14" s="267"/>
      <c r="G14" s="157">
        <v>148891.79999999999</v>
      </c>
    </row>
    <row r="15" spans="1:7" s="156" customFormat="1" ht="14.25">
      <c r="A15" s="267" t="s">
        <v>140</v>
      </c>
      <c r="B15" s="267"/>
      <c r="C15" s="267"/>
      <c r="D15" s="267"/>
      <c r="E15" s="267"/>
      <c r="F15" s="267"/>
      <c r="G15" s="157">
        <v>250000</v>
      </c>
    </row>
    <row r="16" spans="1:7" s="94" customFormat="1" ht="15">
      <c r="A16" s="268" t="s">
        <v>121</v>
      </c>
      <c r="B16" s="268"/>
      <c r="C16" s="268"/>
      <c r="D16" s="268"/>
      <c r="E16" s="268"/>
      <c r="F16" s="268"/>
      <c r="G16" s="97">
        <f>SUM(G14:G15)</f>
        <v>398891.8</v>
      </c>
    </row>
    <row r="17" spans="1:7" ht="15.75" thickBot="1">
      <c r="A17" s="269" t="s">
        <v>142</v>
      </c>
      <c r="B17" s="269"/>
      <c r="C17" s="269"/>
      <c r="D17" s="269"/>
      <c r="E17" s="269"/>
      <c r="F17" s="269"/>
      <c r="G17" s="169">
        <v>247891.8</v>
      </c>
    </row>
    <row r="18" spans="1:7" ht="15.75">
      <c r="A18" s="254" t="s">
        <v>143</v>
      </c>
      <c r="B18" s="255"/>
      <c r="C18" s="255"/>
      <c r="D18" s="255"/>
      <c r="E18" s="255"/>
      <c r="F18" s="255"/>
      <c r="G18" s="174">
        <f>G16-G17</f>
        <v>151000</v>
      </c>
    </row>
    <row r="19" spans="1:7" ht="15.75">
      <c r="A19" s="262" t="s">
        <v>144</v>
      </c>
      <c r="B19" s="263"/>
      <c r="C19" s="263"/>
      <c r="D19" s="264"/>
      <c r="E19" s="160" t="s">
        <v>82</v>
      </c>
      <c r="F19" s="98">
        <v>2111</v>
      </c>
      <c r="G19" s="109">
        <v>30000</v>
      </c>
    </row>
    <row r="20" spans="1:7">
      <c r="A20" s="175"/>
      <c r="B20" s="173"/>
      <c r="C20" s="173"/>
      <c r="D20" s="173"/>
      <c r="E20" s="160" t="s">
        <v>82</v>
      </c>
      <c r="F20" s="98">
        <v>2240</v>
      </c>
      <c r="G20" s="109">
        <v>4000</v>
      </c>
    </row>
    <row r="21" spans="1:7">
      <c r="A21" s="175"/>
      <c r="B21" s="173"/>
      <c r="C21" s="173"/>
      <c r="D21" s="173"/>
      <c r="E21" s="160" t="s">
        <v>82</v>
      </c>
      <c r="F21" s="98">
        <v>2250</v>
      </c>
      <c r="G21" s="109">
        <v>3000</v>
      </c>
    </row>
    <row r="22" spans="1:7" ht="15.75">
      <c r="A22" s="256" t="s">
        <v>88</v>
      </c>
      <c r="B22" s="257"/>
      <c r="C22" s="257"/>
      <c r="D22" s="257"/>
      <c r="E22" s="258"/>
      <c r="F22" s="258"/>
      <c r="G22" s="170">
        <f>SUM(G19:G21)</f>
        <v>37000</v>
      </c>
    </row>
    <row r="23" spans="1:7" ht="16.5" thickBot="1">
      <c r="A23" s="265" t="s">
        <v>146</v>
      </c>
      <c r="B23" s="266"/>
      <c r="C23" s="266"/>
      <c r="D23" s="266"/>
      <c r="E23" s="171"/>
      <c r="F23" s="171"/>
      <c r="G23" s="172">
        <f>G18-G22</f>
        <v>114000</v>
      </c>
    </row>
    <row r="27" spans="1:7">
      <c r="A27" s="154" t="s">
        <v>147</v>
      </c>
      <c r="C27" s="154" t="s">
        <v>90</v>
      </c>
      <c r="E27" s="154" t="s">
        <v>91</v>
      </c>
    </row>
  </sheetData>
  <mergeCells count="11">
    <mergeCell ref="A23:D23"/>
    <mergeCell ref="A14:F14"/>
    <mergeCell ref="A15:F15"/>
    <mergeCell ref="A16:F16"/>
    <mergeCell ref="A17:F17"/>
    <mergeCell ref="A18:F18"/>
    <mergeCell ref="A22:F22"/>
    <mergeCell ref="A13:F13"/>
    <mergeCell ref="B6:D6"/>
    <mergeCell ref="E6:G6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S22" sqref="S22"/>
    </sheetView>
  </sheetViews>
  <sheetFormatPr defaultRowHeight="12.75"/>
  <cols>
    <col min="1" max="1" width="12.28515625" customWidth="1"/>
    <col min="2" max="2" width="8.7109375" customWidth="1"/>
    <col min="3" max="3" width="7.7109375" customWidth="1"/>
    <col min="4" max="4" width="11.28515625" customWidth="1"/>
    <col min="5" max="5" width="11" customWidth="1"/>
    <col min="6" max="6" width="5.7109375" customWidth="1"/>
    <col min="7" max="7" width="6.140625" customWidth="1"/>
    <col min="8" max="8" width="5.7109375" customWidth="1"/>
    <col min="9" max="9" width="3.5703125" customWidth="1"/>
    <col min="11" max="11" width="7.5703125" customWidth="1"/>
    <col min="12" max="12" width="8.85546875" customWidth="1"/>
    <col min="13" max="13" width="7.85546875" customWidth="1"/>
    <col min="14" max="14" width="6.28515625" customWidth="1"/>
    <col min="15" max="15" width="10.7109375" customWidth="1"/>
    <col min="16" max="16" width="9.85546875" customWidth="1"/>
  </cols>
  <sheetData>
    <row r="1" spans="1:16" ht="20.25">
      <c r="B1" s="118" t="s">
        <v>199</v>
      </c>
      <c r="M1" s="154"/>
    </row>
    <row r="2" spans="1:16" ht="23.25">
      <c r="B2" s="118"/>
      <c r="G2" s="198" t="s">
        <v>208</v>
      </c>
      <c r="H2" s="198"/>
      <c r="M2" s="154"/>
    </row>
    <row r="3" spans="1:16" ht="13.5" thickBot="1">
      <c r="C3" s="194" t="s">
        <v>192</v>
      </c>
    </row>
    <row r="4" spans="1:16" ht="20.25">
      <c r="B4" s="103" t="s">
        <v>107</v>
      </c>
      <c r="C4" s="104"/>
      <c r="D4" s="104"/>
      <c r="E4" s="112"/>
      <c r="F4" s="248" t="s">
        <v>108</v>
      </c>
      <c r="G4" s="249"/>
      <c r="H4" s="249"/>
      <c r="I4" s="249"/>
      <c r="J4" s="249"/>
      <c r="K4" s="249"/>
      <c r="L4" s="250"/>
      <c r="M4" s="248" t="s">
        <v>109</v>
      </c>
      <c r="N4" s="249"/>
      <c r="O4" s="249"/>
      <c r="P4" s="250"/>
    </row>
    <row r="5" spans="1:16" ht="15">
      <c r="A5" s="94"/>
      <c r="B5" s="106" t="s">
        <v>201</v>
      </c>
      <c r="C5" s="97"/>
      <c r="D5" s="97"/>
      <c r="E5" s="150"/>
      <c r="F5" s="106" t="s">
        <v>201</v>
      </c>
      <c r="G5" s="97"/>
      <c r="H5" s="97"/>
      <c r="I5" s="97"/>
      <c r="J5" s="97"/>
      <c r="K5" s="97"/>
      <c r="L5" s="100"/>
      <c r="M5" s="106" t="s">
        <v>202</v>
      </c>
      <c r="N5" s="97"/>
      <c r="O5" s="97"/>
      <c r="P5" s="107"/>
    </row>
    <row r="6" spans="1:16" ht="27" customHeight="1">
      <c r="B6" s="108" t="s">
        <v>30</v>
      </c>
      <c r="C6" s="98" t="s">
        <v>31</v>
      </c>
      <c r="D6" s="98" t="s">
        <v>11</v>
      </c>
      <c r="E6" s="150" t="s">
        <v>32</v>
      </c>
      <c r="F6" s="200" t="s">
        <v>205</v>
      </c>
      <c r="G6" s="197" t="s">
        <v>195</v>
      </c>
      <c r="H6" s="200" t="s">
        <v>206</v>
      </c>
      <c r="I6" s="199" t="s">
        <v>196</v>
      </c>
      <c r="J6" s="197" t="s">
        <v>203</v>
      </c>
      <c r="K6" s="197" t="s">
        <v>204</v>
      </c>
      <c r="L6" s="101" t="s">
        <v>32</v>
      </c>
      <c r="M6" s="108" t="s">
        <v>19</v>
      </c>
      <c r="N6" s="98" t="s">
        <v>37</v>
      </c>
      <c r="O6" s="98" t="s">
        <v>11</v>
      </c>
      <c r="P6" s="109" t="s">
        <v>32</v>
      </c>
    </row>
    <row r="7" spans="1:16" ht="15.75">
      <c r="A7" s="195" t="s">
        <v>200</v>
      </c>
      <c r="B7" s="108"/>
      <c r="C7" s="98"/>
      <c r="D7" s="99"/>
      <c r="E7" s="177">
        <v>32627.040000000001</v>
      </c>
      <c r="F7" s="108"/>
      <c r="G7" s="98"/>
      <c r="H7" s="98"/>
      <c r="I7" s="98"/>
      <c r="J7" s="98"/>
      <c r="K7" s="98"/>
      <c r="L7" s="101"/>
      <c r="M7" s="110"/>
      <c r="N7" s="98"/>
      <c r="O7" s="99">
        <v>0</v>
      </c>
      <c r="P7" s="109"/>
    </row>
    <row r="8" spans="1:16" ht="15">
      <c r="A8" s="196" t="s">
        <v>38</v>
      </c>
      <c r="B8" s="108">
        <v>182.39</v>
      </c>
      <c r="C8" s="98">
        <v>1826.34</v>
      </c>
      <c r="D8" s="204">
        <f>B8*C8</f>
        <v>333106.15259999997</v>
      </c>
      <c r="E8" s="150"/>
      <c r="F8" s="108">
        <v>0</v>
      </c>
      <c r="G8" s="98">
        <v>17.11</v>
      </c>
      <c r="H8" s="98"/>
      <c r="I8" s="98">
        <v>9</v>
      </c>
      <c r="J8" s="98"/>
      <c r="K8" s="98">
        <f>F8*J8</f>
        <v>0</v>
      </c>
      <c r="L8" s="101">
        <v>0</v>
      </c>
      <c r="M8" s="108">
        <v>5429</v>
      </c>
      <c r="N8" s="115">
        <f>O8/M8</f>
        <v>2.2246785780069995</v>
      </c>
      <c r="O8" s="131">
        <v>12077.78</v>
      </c>
      <c r="P8" s="109"/>
    </row>
    <row r="9" spans="1:16" ht="15">
      <c r="A9" s="196" t="s">
        <v>39</v>
      </c>
      <c r="B9" s="178">
        <v>118.71</v>
      </c>
      <c r="C9" s="98">
        <v>1826.34</v>
      </c>
      <c r="D9" s="204">
        <f t="shared" ref="D9:D22" si="0">B9*C9</f>
        <v>216804.82139999999</v>
      </c>
      <c r="E9" s="150"/>
      <c r="F9" s="108">
        <v>78</v>
      </c>
      <c r="G9" s="98">
        <v>17.11</v>
      </c>
      <c r="H9" s="98">
        <v>86</v>
      </c>
      <c r="I9" s="98">
        <v>9</v>
      </c>
      <c r="J9" s="98">
        <f>F9*G9</f>
        <v>1334.58</v>
      </c>
      <c r="K9" s="98">
        <f>H9*I9</f>
        <v>774</v>
      </c>
      <c r="L9" s="101">
        <f>SUM(J9:K9)</f>
        <v>2108.58</v>
      </c>
      <c r="M9" s="108">
        <v>11488</v>
      </c>
      <c r="N9" s="115">
        <f>O9/M9</f>
        <v>2.2652402506963791</v>
      </c>
      <c r="O9" s="131">
        <v>26023.08</v>
      </c>
      <c r="P9" s="109">
        <v>28400</v>
      </c>
    </row>
    <row r="10" spans="1:16" ht="15">
      <c r="A10" s="196" t="s">
        <v>40</v>
      </c>
      <c r="B10" s="108">
        <v>50.69</v>
      </c>
      <c r="C10" s="98">
        <v>1826.34</v>
      </c>
      <c r="D10" s="204">
        <f t="shared" si="0"/>
        <v>92577.174599999998</v>
      </c>
      <c r="E10" s="150">
        <v>503074.98</v>
      </c>
      <c r="F10" s="108">
        <v>110</v>
      </c>
      <c r="G10" s="98">
        <v>17.11</v>
      </c>
      <c r="H10" s="98">
        <v>110</v>
      </c>
      <c r="I10" s="98">
        <v>9</v>
      </c>
      <c r="J10" s="98">
        <f>F10*G10</f>
        <v>1882.1</v>
      </c>
      <c r="K10" s="98">
        <f>H10*I10</f>
        <v>990</v>
      </c>
      <c r="L10" s="101">
        <v>2656.1</v>
      </c>
      <c r="M10" s="108">
        <v>9675</v>
      </c>
      <c r="N10" s="115">
        <f>O10/M10</f>
        <v>2.2665602067183466</v>
      </c>
      <c r="O10" s="131">
        <v>21928.97</v>
      </c>
      <c r="P10" s="150">
        <v>31629.83</v>
      </c>
    </row>
    <row r="11" spans="1:16" ht="15.75">
      <c r="A11" s="195" t="s">
        <v>41</v>
      </c>
      <c r="B11" s="110">
        <f>SUM(B8:B10)</f>
        <v>351.78999999999996</v>
      </c>
      <c r="C11" s="98"/>
      <c r="D11" s="207">
        <f>SUM(D8:D10)</f>
        <v>642488.14859999996</v>
      </c>
      <c r="E11" s="151">
        <f>SUM(E8:E10)</f>
        <v>503074.98</v>
      </c>
      <c r="F11" s="110">
        <f>SUM(F8:F10)</f>
        <v>188</v>
      </c>
      <c r="G11" s="98"/>
      <c r="H11" s="99">
        <f>SUM(H9:H10)</f>
        <v>196</v>
      </c>
      <c r="I11" s="98"/>
      <c r="J11" s="98">
        <f>SUM(J9:J10)</f>
        <v>3216.68</v>
      </c>
      <c r="K11" s="99">
        <f>SUM(K8:K10)</f>
        <v>1764</v>
      </c>
      <c r="L11" s="102">
        <f>SUM(L8:L10)</f>
        <v>4764.68</v>
      </c>
      <c r="M11" s="110">
        <f>SUM(M8:M10)</f>
        <v>26592</v>
      </c>
      <c r="N11" s="115"/>
      <c r="O11" s="99">
        <f>SUM(O8:O10)</f>
        <v>60029.83</v>
      </c>
      <c r="P11" s="111">
        <f>SUM(P8:P10)</f>
        <v>60029.83</v>
      </c>
    </row>
    <row r="12" spans="1:16" ht="15">
      <c r="A12" s="196" t="s">
        <v>43</v>
      </c>
      <c r="B12" s="108"/>
      <c r="C12" s="98">
        <v>1826.34</v>
      </c>
      <c r="D12" s="115">
        <f t="shared" si="0"/>
        <v>0</v>
      </c>
      <c r="E12" s="150">
        <v>106786.1</v>
      </c>
      <c r="F12" s="108">
        <v>107</v>
      </c>
      <c r="G12" s="98">
        <v>17.11</v>
      </c>
      <c r="H12" s="98">
        <v>105</v>
      </c>
      <c r="I12" s="98">
        <v>9</v>
      </c>
      <c r="J12" s="98">
        <f>F12*G12</f>
        <v>1830.77</v>
      </c>
      <c r="K12" s="98">
        <f>H12*I12</f>
        <v>945</v>
      </c>
      <c r="L12" s="101">
        <v>2991.77</v>
      </c>
      <c r="M12" s="108">
        <v>6902</v>
      </c>
      <c r="N12" s="115">
        <f>O12/M12</f>
        <v>2.1325195595479571</v>
      </c>
      <c r="O12" s="155">
        <v>14718.65</v>
      </c>
      <c r="P12" s="109">
        <v>14718.65</v>
      </c>
    </row>
    <row r="13" spans="1:16" ht="15">
      <c r="A13" s="196" t="s">
        <v>44</v>
      </c>
      <c r="B13" s="108"/>
      <c r="C13" s="98"/>
      <c r="D13" s="115">
        <f t="shared" si="0"/>
        <v>0</v>
      </c>
      <c r="E13" s="150"/>
      <c r="F13" s="108">
        <v>97</v>
      </c>
      <c r="G13" s="98">
        <v>17.11</v>
      </c>
      <c r="H13" s="98">
        <v>97</v>
      </c>
      <c r="I13" s="98">
        <v>9</v>
      </c>
      <c r="J13" s="98">
        <f>F13*G13</f>
        <v>1659.6699999999998</v>
      </c>
      <c r="K13" s="98">
        <f>H13*I13</f>
        <v>873</v>
      </c>
      <c r="L13" s="101">
        <v>2532.67</v>
      </c>
      <c r="M13" s="108">
        <v>5581</v>
      </c>
      <c r="N13" s="115">
        <f t="shared" ref="N13:N21" si="1">O13/M13</f>
        <v>2.1521286507794302</v>
      </c>
      <c r="O13" s="155">
        <v>12011.03</v>
      </c>
      <c r="P13" s="109">
        <v>12011.03</v>
      </c>
    </row>
    <row r="14" spans="1:16" ht="15">
      <c r="A14" s="196" t="s">
        <v>45</v>
      </c>
      <c r="B14" s="108"/>
      <c r="C14" s="98"/>
      <c r="D14" s="115">
        <f t="shared" si="0"/>
        <v>0</v>
      </c>
      <c r="E14" s="150"/>
      <c r="F14" s="108">
        <v>113</v>
      </c>
      <c r="G14" s="98">
        <v>17.11</v>
      </c>
      <c r="H14" s="98">
        <v>121</v>
      </c>
      <c r="I14" s="98">
        <v>9</v>
      </c>
      <c r="J14" s="98">
        <f>F14*G14</f>
        <v>1933.4299999999998</v>
      </c>
      <c r="K14" s="98">
        <f>H14*I14</f>
        <v>1089</v>
      </c>
      <c r="L14" s="101">
        <v>3022.43</v>
      </c>
      <c r="M14" s="108">
        <v>4178</v>
      </c>
      <c r="N14" s="115">
        <f t="shared" si="1"/>
        <v>2.1684825275251316</v>
      </c>
      <c r="O14" s="155">
        <v>9059.92</v>
      </c>
      <c r="P14" s="109">
        <v>9059.92</v>
      </c>
    </row>
    <row r="15" spans="1:16" ht="15.75">
      <c r="A15" s="195" t="s">
        <v>46</v>
      </c>
      <c r="B15" s="110">
        <f>SUM(B12:B14)</f>
        <v>0</v>
      </c>
      <c r="C15" s="99"/>
      <c r="D15" s="125">
        <f>SUM(D12:D14)</f>
        <v>0</v>
      </c>
      <c r="E15" s="151">
        <f>SUM(E12:E14)</f>
        <v>106786.1</v>
      </c>
      <c r="F15" s="110">
        <f>SUM(F12:F14)</f>
        <v>317</v>
      </c>
      <c r="G15" s="98"/>
      <c r="H15" s="99">
        <f>SUM(H12:H14)</f>
        <v>323</v>
      </c>
      <c r="I15" s="98"/>
      <c r="J15" s="98">
        <f>SUM(J12:J14)</f>
        <v>5423.869999999999</v>
      </c>
      <c r="K15" s="99">
        <f>SUM(K12:K14)</f>
        <v>2907</v>
      </c>
      <c r="L15" s="102">
        <f>SUM(L12:L14)</f>
        <v>8546.8700000000008</v>
      </c>
      <c r="M15" s="110">
        <f>SUM(M12:M14)</f>
        <v>16661</v>
      </c>
      <c r="N15" s="115"/>
      <c r="O15" s="99">
        <f>SUM(O12:O14)</f>
        <v>35789.599999999999</v>
      </c>
      <c r="P15" s="111">
        <f>SUM(P12:P14)</f>
        <v>35789.599999999999</v>
      </c>
    </row>
    <row r="16" spans="1:16" ht="15">
      <c r="A16" s="196" t="s">
        <v>47</v>
      </c>
      <c r="B16" s="108"/>
      <c r="C16" s="98"/>
      <c r="D16" s="115">
        <f t="shared" si="0"/>
        <v>0</v>
      </c>
      <c r="E16" s="150"/>
      <c r="F16" s="108">
        <v>77</v>
      </c>
      <c r="G16" s="98">
        <v>17.11</v>
      </c>
      <c r="H16" s="98">
        <v>77</v>
      </c>
      <c r="I16" s="98">
        <v>9</v>
      </c>
      <c r="J16" s="98">
        <f>F16*G16</f>
        <v>1317.47</v>
      </c>
      <c r="K16" s="98">
        <f>H16*I16</f>
        <v>693</v>
      </c>
      <c r="L16" s="101">
        <v>2010.47</v>
      </c>
      <c r="M16" s="108">
        <v>2081</v>
      </c>
      <c r="N16" s="115">
        <f t="shared" si="1"/>
        <v>2.1870350792888034</v>
      </c>
      <c r="O16" s="155">
        <v>4551.22</v>
      </c>
      <c r="P16" s="109">
        <v>4551.22</v>
      </c>
    </row>
    <row r="17" spans="1:16" ht="15">
      <c r="A17" s="196" t="s">
        <v>48</v>
      </c>
      <c r="B17" s="108"/>
      <c r="C17" s="98"/>
      <c r="D17" s="115">
        <f t="shared" si="0"/>
        <v>0</v>
      </c>
      <c r="E17" s="150"/>
      <c r="F17" s="108">
        <v>33</v>
      </c>
      <c r="G17" s="98">
        <v>17.11</v>
      </c>
      <c r="H17" s="98">
        <v>33</v>
      </c>
      <c r="I17" s="98">
        <v>9</v>
      </c>
      <c r="J17" s="98">
        <f>F17*G17</f>
        <v>564.63</v>
      </c>
      <c r="K17" s="98">
        <f>H17*I17</f>
        <v>297</v>
      </c>
      <c r="L17" s="101">
        <f>SUM(J17:K17)</f>
        <v>861.63</v>
      </c>
      <c r="M17" s="108">
        <v>1437</v>
      </c>
      <c r="N17" s="115">
        <f t="shared" si="1"/>
        <v>2.1908350730688935</v>
      </c>
      <c r="O17" s="155">
        <v>3148.23</v>
      </c>
      <c r="P17" s="109">
        <v>3148.23</v>
      </c>
    </row>
    <row r="18" spans="1:16" ht="15">
      <c r="A18" s="196" t="s">
        <v>49</v>
      </c>
      <c r="B18" s="108"/>
      <c r="C18" s="98"/>
      <c r="D18" s="115">
        <f t="shared" si="0"/>
        <v>0</v>
      </c>
      <c r="E18" s="150"/>
      <c r="F18" s="108">
        <v>49</v>
      </c>
      <c r="G18" s="98">
        <v>17.11</v>
      </c>
      <c r="H18" s="98">
        <v>49</v>
      </c>
      <c r="I18" s="98">
        <v>9</v>
      </c>
      <c r="J18" s="98">
        <f>F18*G18</f>
        <v>838.39</v>
      </c>
      <c r="K18" s="98">
        <f>H18*I18</f>
        <v>441</v>
      </c>
      <c r="L18" s="101">
        <f>SUM(J18:K18)</f>
        <v>1279.3899999999999</v>
      </c>
      <c r="M18" s="108">
        <v>1654</v>
      </c>
      <c r="N18" s="115">
        <f t="shared" si="1"/>
        <v>2.2140689238210398</v>
      </c>
      <c r="O18" s="192">
        <v>3662.07</v>
      </c>
      <c r="P18" s="109">
        <v>3662.07</v>
      </c>
    </row>
    <row r="19" spans="1:16" ht="15.75">
      <c r="A19" s="195" t="s">
        <v>50</v>
      </c>
      <c r="B19" s="110"/>
      <c r="C19" s="99"/>
      <c r="D19" s="115">
        <f>SUM(D16:D18)</f>
        <v>0</v>
      </c>
      <c r="E19" s="151">
        <f>SUM(E16:E18)</f>
        <v>0</v>
      </c>
      <c r="F19" s="110">
        <f>SUM(F16:F18)</f>
        <v>159</v>
      </c>
      <c r="G19" s="99"/>
      <c r="H19" s="99">
        <f>SUM(H16:H18)</f>
        <v>159</v>
      </c>
      <c r="I19" s="99"/>
      <c r="J19" s="99">
        <f>SUM(J16:J18)</f>
        <v>2720.49</v>
      </c>
      <c r="K19" s="99">
        <f>SUM(K16:K18)</f>
        <v>1431</v>
      </c>
      <c r="L19" s="102">
        <f>SUM(L16:L18)</f>
        <v>4151.49</v>
      </c>
      <c r="M19" s="110">
        <f>SUM(M16:M18)</f>
        <v>5172</v>
      </c>
      <c r="N19" s="115"/>
      <c r="O19" s="99">
        <f>SUM(O16:O18)</f>
        <v>11361.52</v>
      </c>
      <c r="P19" s="111">
        <f>SUM(P16:P18)</f>
        <v>11361.52</v>
      </c>
    </row>
    <row r="20" spans="1:16" ht="15">
      <c r="A20" s="196" t="s">
        <v>51</v>
      </c>
      <c r="B20" s="108">
        <v>17.706</v>
      </c>
      <c r="C20" s="98">
        <v>1826.34</v>
      </c>
      <c r="D20" s="115">
        <f t="shared" si="0"/>
        <v>32337.176039999998</v>
      </c>
      <c r="E20" s="150">
        <v>138.91999999999999</v>
      </c>
      <c r="F20" s="108">
        <v>137</v>
      </c>
      <c r="G20" s="98">
        <v>17.11</v>
      </c>
      <c r="H20" s="98">
        <v>137</v>
      </c>
      <c r="I20" s="98">
        <v>9</v>
      </c>
      <c r="J20" s="98">
        <f>F20*G20</f>
        <v>2344.0699999999997</v>
      </c>
      <c r="K20" s="98">
        <f>H20*I20</f>
        <v>1233</v>
      </c>
      <c r="L20" s="101">
        <v>3577.07</v>
      </c>
      <c r="M20" s="108">
        <v>5590</v>
      </c>
      <c r="N20" s="115">
        <f t="shared" si="1"/>
        <v>2.2482611806797856</v>
      </c>
      <c r="O20" s="155">
        <v>12567.78</v>
      </c>
      <c r="P20" s="109">
        <v>12567.78</v>
      </c>
    </row>
    <row r="21" spans="1:16" ht="15">
      <c r="A21" s="196" t="s">
        <v>52</v>
      </c>
      <c r="B21" s="108">
        <v>108.56</v>
      </c>
      <c r="C21" s="98">
        <v>1826.34</v>
      </c>
      <c r="D21" s="204">
        <f t="shared" si="0"/>
        <v>198267.47039999999</v>
      </c>
      <c r="E21" s="150">
        <v>32196.55</v>
      </c>
      <c r="F21" s="108">
        <v>90</v>
      </c>
      <c r="G21" s="98">
        <v>17.11</v>
      </c>
      <c r="H21" s="98">
        <v>90</v>
      </c>
      <c r="I21" s="98">
        <v>9</v>
      </c>
      <c r="J21" s="98">
        <f>F21*G21</f>
        <v>1539.8999999999999</v>
      </c>
      <c r="K21" s="98">
        <f>H21*I21</f>
        <v>810</v>
      </c>
      <c r="L21" s="101">
        <v>2349.9</v>
      </c>
      <c r="M21" s="108">
        <v>9561</v>
      </c>
      <c r="N21" s="115">
        <f t="shared" si="1"/>
        <v>2.2304162744482792</v>
      </c>
      <c r="O21" s="155">
        <v>21325.01</v>
      </c>
      <c r="P21" s="109">
        <v>21325.01</v>
      </c>
    </row>
    <row r="22" spans="1:16" ht="15">
      <c r="A22" s="196" t="s">
        <v>53</v>
      </c>
      <c r="B22" s="209">
        <v>94.372</v>
      </c>
      <c r="C22" s="98">
        <v>1826.34</v>
      </c>
      <c r="D22" s="115">
        <f t="shared" si="0"/>
        <v>172355.35848</v>
      </c>
      <c r="E22" s="150">
        <v>502803.45</v>
      </c>
      <c r="F22" s="108">
        <v>90</v>
      </c>
      <c r="G22" s="98">
        <v>17.11</v>
      </c>
      <c r="H22" s="98">
        <v>90</v>
      </c>
      <c r="I22" s="98">
        <v>9</v>
      </c>
      <c r="J22" s="98">
        <f>F22*G22</f>
        <v>1539.8999999999999</v>
      </c>
      <c r="K22" s="98">
        <f>H22*I22</f>
        <v>810</v>
      </c>
      <c r="L22" s="101">
        <v>13577.2</v>
      </c>
      <c r="M22" s="108">
        <v>14856</v>
      </c>
      <c r="N22" s="115">
        <f>O22/M22</f>
        <v>2.2454516693591815</v>
      </c>
      <c r="O22" s="155">
        <v>33358.43</v>
      </c>
      <c r="P22" s="109">
        <v>68926</v>
      </c>
    </row>
    <row r="23" spans="1:16" ht="16.5" thickBot="1">
      <c r="A23" s="195" t="s">
        <v>54</v>
      </c>
      <c r="B23" s="120">
        <f>SUM(B20:B22)</f>
        <v>220.63800000000001</v>
      </c>
      <c r="C23" s="121"/>
      <c r="D23" s="205">
        <f>SUM(D20:D22)</f>
        <v>402960.00491999998</v>
      </c>
      <c r="E23" s="151">
        <f>SUM(E20:E22)</f>
        <v>535138.92000000004</v>
      </c>
      <c r="F23" s="110">
        <f>SUM(F20:F22)</f>
        <v>317</v>
      </c>
      <c r="G23" s="99"/>
      <c r="H23" s="99">
        <f>SUM(H20:H22)</f>
        <v>317</v>
      </c>
      <c r="I23" s="99"/>
      <c r="J23" s="99">
        <f>SUM(J20:J22)</f>
        <v>5423.869999999999</v>
      </c>
      <c r="K23" s="99">
        <f>SUM(K20:K22)</f>
        <v>2853</v>
      </c>
      <c r="L23" s="102">
        <f>SUM(L20:L22)</f>
        <v>19504.170000000002</v>
      </c>
      <c r="M23" s="110">
        <f>SUM(M20:M22)</f>
        <v>30007</v>
      </c>
      <c r="N23" s="115"/>
      <c r="O23" s="99">
        <f>SUM(O20:O22)</f>
        <v>67251.22</v>
      </c>
      <c r="P23" s="111">
        <f>SUM(P20:P22)</f>
        <v>102818.79000000001</v>
      </c>
    </row>
    <row r="24" spans="1:16" ht="15.75" thickBot="1">
      <c r="A24" s="97" t="s">
        <v>55</v>
      </c>
      <c r="B24" s="96">
        <f>B23+B19+B15+B11</f>
        <v>572.428</v>
      </c>
      <c r="C24" s="96"/>
      <c r="D24" s="206">
        <f>D23+D19+D15+D11</f>
        <v>1045448.1535199999</v>
      </c>
      <c r="E24" s="151">
        <f>E23+E19+E15+E11+E7</f>
        <v>1177627.04</v>
      </c>
      <c r="F24" s="120">
        <f>F23+F19+F15+F11</f>
        <v>981</v>
      </c>
      <c r="G24" s="120"/>
      <c r="H24" s="120">
        <f>H23+H19+H15+H11</f>
        <v>995</v>
      </c>
      <c r="I24" s="121"/>
      <c r="J24" s="121">
        <f>J11+J15+J19+J23</f>
        <v>16784.909999999996</v>
      </c>
      <c r="K24" s="121">
        <f>K23+K19+K15+K11</f>
        <v>8955</v>
      </c>
      <c r="L24" s="123">
        <f>L23+L19+L15+L11</f>
        <v>36967.210000000006</v>
      </c>
      <c r="M24" s="120">
        <f>M23+M19+M15+M11</f>
        <v>78432</v>
      </c>
      <c r="N24" s="121"/>
      <c r="O24" s="121">
        <f>O23+O19+O15+O11+O7</f>
        <v>174432.16999999998</v>
      </c>
      <c r="P24" s="122">
        <f>P23+P19+P15+P11</f>
        <v>209999.74</v>
      </c>
    </row>
    <row r="25" spans="1:16" ht="18.75">
      <c r="A25" s="116" t="s">
        <v>56</v>
      </c>
      <c r="D25" s="117"/>
      <c r="E25" s="203">
        <f>D24-E24</f>
        <v>-132178.8864800001</v>
      </c>
      <c r="F25" s="117"/>
      <c r="G25" s="148" t="s">
        <v>189</v>
      </c>
      <c r="H25" s="148"/>
      <c r="I25" s="149" t="s">
        <v>190</v>
      </c>
      <c r="J25" s="148"/>
      <c r="K25" s="117"/>
      <c r="L25" s="118">
        <f>K24+J24-L24</f>
        <v>-11227.30000000001</v>
      </c>
      <c r="M25" s="117"/>
      <c r="N25" s="117"/>
      <c r="O25" s="117"/>
      <c r="P25" s="201">
        <f>O24-P24</f>
        <v>-35567.570000000007</v>
      </c>
    </row>
    <row r="26" spans="1:16" ht="15.75">
      <c r="A26" s="95" t="s">
        <v>207</v>
      </c>
      <c r="O26" s="6">
        <v>694.03</v>
      </c>
    </row>
    <row r="27" spans="1:16" ht="18.75">
      <c r="A27" s="202"/>
      <c r="B27" s="202"/>
      <c r="C27" s="202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1:16" ht="38.25">
      <c r="A28" s="214" t="s">
        <v>214</v>
      </c>
      <c r="B28">
        <v>351.79</v>
      </c>
      <c r="C28" s="95" t="s">
        <v>221</v>
      </c>
    </row>
  </sheetData>
  <mergeCells count="2">
    <mergeCell ref="F4:L4"/>
    <mergeCell ref="M4:P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4"/>
  <sheetViews>
    <sheetView workbookViewId="0">
      <selection activeCell="L18" sqref="L18"/>
    </sheetView>
  </sheetViews>
  <sheetFormatPr defaultRowHeight="12.75"/>
  <cols>
    <col min="2" max="2" width="7.7109375" customWidth="1"/>
    <col min="3" max="3" width="8.28515625" customWidth="1"/>
    <col min="4" max="4" width="11.5703125" customWidth="1"/>
    <col min="5" max="5" width="12.85546875" customWidth="1"/>
    <col min="6" max="6" width="5.28515625" customWidth="1"/>
    <col min="7" max="7" width="7.140625" customWidth="1"/>
    <col min="8" max="8" width="5.28515625" customWidth="1"/>
    <col min="9" max="9" width="3.140625" customWidth="1"/>
    <col min="10" max="10" width="8.140625" customWidth="1"/>
    <col min="11" max="11" width="7.5703125" customWidth="1"/>
    <col min="12" max="12" width="9.7109375" customWidth="1"/>
    <col min="13" max="13" width="7.7109375" customWidth="1"/>
    <col min="14" max="14" width="6.140625" customWidth="1"/>
    <col min="15" max="15" width="11" customWidth="1"/>
    <col min="16" max="16" width="11.85546875" customWidth="1"/>
  </cols>
  <sheetData>
    <row r="1" spans="1:16" ht="20.25">
      <c r="B1" s="118" t="s">
        <v>209</v>
      </c>
      <c r="M1" s="154"/>
    </row>
    <row r="2" spans="1:16" ht="23.25">
      <c r="B2" s="118"/>
      <c r="G2" s="198" t="s">
        <v>222</v>
      </c>
      <c r="H2" s="198"/>
      <c r="M2" s="154"/>
    </row>
    <row r="3" spans="1:16" ht="13.5" thickBot="1">
      <c r="C3" s="194" t="s">
        <v>192</v>
      </c>
    </row>
    <row r="4" spans="1:16" ht="20.25">
      <c r="B4" s="103" t="s">
        <v>107</v>
      </c>
      <c r="C4" s="104"/>
      <c r="D4" s="104"/>
      <c r="E4" s="112"/>
      <c r="F4" s="248" t="s">
        <v>108</v>
      </c>
      <c r="G4" s="249"/>
      <c r="H4" s="249"/>
      <c r="I4" s="249"/>
      <c r="J4" s="249"/>
      <c r="K4" s="249"/>
      <c r="L4" s="250"/>
      <c r="M4" s="248" t="s">
        <v>109</v>
      </c>
      <c r="N4" s="249"/>
      <c r="O4" s="249"/>
      <c r="P4" s="250"/>
    </row>
    <row r="5" spans="1:16" ht="15">
      <c r="A5" s="94"/>
      <c r="B5" s="106" t="s">
        <v>210</v>
      </c>
      <c r="C5" s="97"/>
      <c r="D5" s="97"/>
      <c r="E5" s="150"/>
      <c r="F5" s="106" t="s">
        <v>210</v>
      </c>
      <c r="G5" s="97"/>
      <c r="H5" s="97"/>
      <c r="I5" s="97"/>
      <c r="J5" s="97"/>
      <c r="K5" s="97"/>
      <c r="L5" s="100"/>
      <c r="M5" s="106" t="s">
        <v>211</v>
      </c>
      <c r="N5" s="97"/>
      <c r="O5" s="97"/>
      <c r="P5" s="107"/>
    </row>
    <row r="6" spans="1:16" ht="48.75" customHeight="1">
      <c r="B6" s="108" t="s">
        <v>30</v>
      </c>
      <c r="C6" s="98" t="s">
        <v>31</v>
      </c>
      <c r="D6" s="98" t="s">
        <v>11</v>
      </c>
      <c r="E6" s="150" t="s">
        <v>32</v>
      </c>
      <c r="F6" s="200" t="s">
        <v>205</v>
      </c>
      <c r="G6" s="197" t="s">
        <v>195</v>
      </c>
      <c r="H6" s="200" t="s">
        <v>206</v>
      </c>
      <c r="I6" s="199" t="s">
        <v>196</v>
      </c>
      <c r="J6" s="197" t="s">
        <v>203</v>
      </c>
      <c r="K6" s="197" t="s">
        <v>204</v>
      </c>
      <c r="L6" s="101" t="s">
        <v>32</v>
      </c>
      <c r="M6" s="108" t="s">
        <v>19</v>
      </c>
      <c r="N6" s="98" t="s">
        <v>37</v>
      </c>
      <c r="O6" s="98" t="s">
        <v>11</v>
      </c>
      <c r="P6" s="109" t="s">
        <v>32</v>
      </c>
    </row>
    <row r="7" spans="1:16" s="6" customFormat="1" ht="15.75">
      <c r="A7" s="195" t="s">
        <v>212</v>
      </c>
      <c r="B7" s="210"/>
      <c r="C7" s="211"/>
      <c r="D7" s="211"/>
      <c r="E7" s="212">
        <v>132178.92000000001</v>
      </c>
      <c r="F7" s="210"/>
      <c r="G7" s="211"/>
      <c r="H7" s="211"/>
      <c r="I7" s="211"/>
      <c r="J7" s="211"/>
      <c r="K7" s="211"/>
      <c r="L7" s="195">
        <v>11227.3</v>
      </c>
      <c r="M7" s="210"/>
      <c r="N7" s="211"/>
      <c r="O7" s="211">
        <v>0</v>
      </c>
      <c r="P7" s="170">
        <v>35567.57</v>
      </c>
    </row>
    <row r="8" spans="1:16" ht="15">
      <c r="A8" s="196" t="s">
        <v>38</v>
      </c>
      <c r="B8" s="108">
        <v>131.27500000000001</v>
      </c>
      <c r="C8" s="98">
        <v>1826.34</v>
      </c>
      <c r="D8" s="204">
        <f>B8*C8</f>
        <v>239752.78349999999</v>
      </c>
      <c r="E8" s="150">
        <v>0</v>
      </c>
      <c r="F8" s="108">
        <v>90</v>
      </c>
      <c r="G8" s="98">
        <v>17.11</v>
      </c>
      <c r="H8" s="98">
        <v>90</v>
      </c>
      <c r="I8" s="98">
        <v>9</v>
      </c>
      <c r="J8" s="98">
        <f>F8*G8</f>
        <v>1539.8999999999999</v>
      </c>
      <c r="K8" s="98">
        <f>H8*I8</f>
        <v>810</v>
      </c>
      <c r="L8" s="101">
        <v>0</v>
      </c>
      <c r="M8" s="108">
        <v>2010</v>
      </c>
      <c r="N8" s="115">
        <f>O8/M8</f>
        <v>2.4496467661691543</v>
      </c>
      <c r="O8" s="131">
        <v>4923.79</v>
      </c>
      <c r="P8" s="109"/>
    </row>
    <row r="9" spans="1:16" ht="15">
      <c r="A9" s="196" t="s">
        <v>39</v>
      </c>
      <c r="B9" s="178">
        <v>134.327</v>
      </c>
      <c r="C9" s="98">
        <v>1826.34</v>
      </c>
      <c r="D9" s="204">
        <f t="shared" ref="D9:D22" si="0">B9*C9</f>
        <v>245326.77317999999</v>
      </c>
      <c r="E9" s="150">
        <v>193448.78</v>
      </c>
      <c r="F9" s="108">
        <v>154</v>
      </c>
      <c r="G9" s="98">
        <v>17.11</v>
      </c>
      <c r="H9" s="98">
        <v>154</v>
      </c>
      <c r="I9" s="98">
        <v>9</v>
      </c>
      <c r="J9" s="98">
        <f>F9*G9</f>
        <v>2634.94</v>
      </c>
      <c r="K9" s="98">
        <f>H9*I9</f>
        <v>1386</v>
      </c>
      <c r="L9" s="101">
        <v>0</v>
      </c>
      <c r="M9" s="108">
        <v>4117</v>
      </c>
      <c r="N9" s="115">
        <f>O9/M9</f>
        <v>2.4829293174641727</v>
      </c>
      <c r="O9" s="131">
        <v>10222.219999999999</v>
      </c>
      <c r="P9" s="109"/>
    </row>
    <row r="10" spans="1:16" ht="15">
      <c r="A10" s="196" t="s">
        <v>40</v>
      </c>
      <c r="B10" s="108">
        <v>125.95099999999999</v>
      </c>
      <c r="C10" s="98">
        <v>1826.34</v>
      </c>
      <c r="D10" s="204">
        <f t="shared" si="0"/>
        <v>230029.34933999999</v>
      </c>
      <c r="E10" s="150">
        <v>305661.74</v>
      </c>
      <c r="F10" s="108">
        <v>71</v>
      </c>
      <c r="G10" s="98">
        <v>17.11</v>
      </c>
      <c r="H10" s="98">
        <v>71</v>
      </c>
      <c r="I10" s="98">
        <v>9</v>
      </c>
      <c r="J10" s="98">
        <f>F10*G10</f>
        <v>1214.81</v>
      </c>
      <c r="K10" s="98">
        <f>H10*I10</f>
        <v>639</v>
      </c>
      <c r="L10" s="101"/>
      <c r="M10" s="108">
        <v>6968</v>
      </c>
      <c r="N10" s="115">
        <f>O10/M10</f>
        <v>2.443378300803674</v>
      </c>
      <c r="O10" s="131">
        <v>17025.46</v>
      </c>
      <c r="P10" s="150"/>
    </row>
    <row r="11" spans="1:16" ht="15.75">
      <c r="A11" s="195" t="s">
        <v>41</v>
      </c>
      <c r="B11" s="110">
        <f>SUM(B8:B10)</f>
        <v>391.553</v>
      </c>
      <c r="C11" s="98"/>
      <c r="D11" s="207">
        <f>SUM(D8:D10)</f>
        <v>715108.90601999999</v>
      </c>
      <c r="E11" s="151">
        <f>SUM(E8:E10)</f>
        <v>499110.52</v>
      </c>
      <c r="F11" s="110">
        <f>SUM(F8:F10)</f>
        <v>315</v>
      </c>
      <c r="G11" s="98"/>
      <c r="H11" s="99">
        <f>SUM(H9:H10)</f>
        <v>225</v>
      </c>
      <c r="I11" s="98"/>
      <c r="J11" s="98">
        <f>SUM(J8:J10)</f>
        <v>5389.65</v>
      </c>
      <c r="K11" s="99">
        <f>SUM(K8:K10)</f>
        <v>2835</v>
      </c>
      <c r="L11" s="102">
        <f>SUM(L8:L10)</f>
        <v>0</v>
      </c>
      <c r="M11" s="110">
        <f>SUM(M8:M10)</f>
        <v>13095</v>
      </c>
      <c r="N11" s="115"/>
      <c r="O11" s="99">
        <f>SUM(O8:O10)</f>
        <v>32171.469999999998</v>
      </c>
      <c r="P11" s="111">
        <f>SUM(P8:P10)</f>
        <v>0</v>
      </c>
    </row>
    <row r="12" spans="1:16" ht="15">
      <c r="A12" s="196" t="s">
        <v>43</v>
      </c>
      <c r="B12" s="108">
        <v>50.320999999999998</v>
      </c>
      <c r="C12" s="98">
        <v>1826.34</v>
      </c>
      <c r="D12" s="115">
        <f t="shared" si="0"/>
        <v>91903.255139999994</v>
      </c>
      <c r="E12" s="150">
        <v>175720.9</v>
      </c>
      <c r="F12" s="108">
        <v>115</v>
      </c>
      <c r="G12" s="98">
        <v>17.11</v>
      </c>
      <c r="H12" s="98">
        <v>115</v>
      </c>
      <c r="I12" s="98">
        <v>9</v>
      </c>
      <c r="J12" s="98">
        <f>F12*G12</f>
        <v>1967.6499999999999</v>
      </c>
      <c r="K12" s="98">
        <f>H12*I12</f>
        <v>1035</v>
      </c>
      <c r="L12" s="101"/>
      <c r="M12" s="108">
        <v>6945</v>
      </c>
      <c r="N12" s="115">
        <f>O12/M12</f>
        <v>2.5567084233261341</v>
      </c>
      <c r="O12" s="131">
        <v>17756.34</v>
      </c>
      <c r="P12" s="109">
        <v>14360.24</v>
      </c>
    </row>
    <row r="13" spans="1:16" ht="15">
      <c r="A13" s="196" t="s">
        <v>44</v>
      </c>
      <c r="B13" s="108"/>
      <c r="C13" s="98"/>
      <c r="D13" s="115">
        <f t="shared" si="0"/>
        <v>0</v>
      </c>
      <c r="E13" s="150"/>
      <c r="F13" s="108">
        <v>85</v>
      </c>
      <c r="G13" s="98">
        <v>17.11</v>
      </c>
      <c r="H13" s="98">
        <v>87</v>
      </c>
      <c r="I13" s="98">
        <v>9</v>
      </c>
      <c r="J13" s="98">
        <f>F13*G13</f>
        <v>1454.35</v>
      </c>
      <c r="K13" s="98">
        <f>H13*I13</f>
        <v>783</v>
      </c>
      <c r="L13" s="101">
        <v>2237.35</v>
      </c>
      <c r="M13" s="108">
        <v>6871</v>
      </c>
      <c r="N13" s="115">
        <f>O13/M13</f>
        <v>2.5567079027797992</v>
      </c>
      <c r="O13" s="155">
        <v>17567.14</v>
      </c>
      <c r="P13" s="109">
        <v>17567.14</v>
      </c>
    </row>
    <row r="14" spans="1:16" ht="15">
      <c r="A14" s="196" t="s">
        <v>45</v>
      </c>
      <c r="B14" s="108"/>
      <c r="C14" s="98"/>
      <c r="D14" s="115">
        <f t="shared" si="0"/>
        <v>0</v>
      </c>
      <c r="E14" s="150"/>
      <c r="F14" s="108">
        <v>74</v>
      </c>
      <c r="G14" s="98">
        <v>17.11</v>
      </c>
      <c r="H14" s="98">
        <v>80</v>
      </c>
      <c r="I14" s="98">
        <v>9</v>
      </c>
      <c r="J14" s="98">
        <f>F14*G14</f>
        <v>1266.1399999999999</v>
      </c>
      <c r="K14" s="98">
        <f>H14*I14</f>
        <v>720</v>
      </c>
      <c r="L14" s="101">
        <v>1986.14</v>
      </c>
      <c r="M14" s="108">
        <v>3431</v>
      </c>
      <c r="N14" s="115">
        <f>O14/M14</f>
        <v>2.5567064995628095</v>
      </c>
      <c r="O14" s="155">
        <v>8772.06</v>
      </c>
      <c r="P14" s="109">
        <v>8772.06</v>
      </c>
    </row>
    <row r="15" spans="1:16" ht="15.75">
      <c r="A15" s="195" t="s">
        <v>46</v>
      </c>
      <c r="B15" s="110">
        <f>SUM(B12:B14)</f>
        <v>50.320999999999998</v>
      </c>
      <c r="C15" s="99">
        <v>1826.34</v>
      </c>
      <c r="D15" s="125">
        <f>SUM(D12:D14)</f>
        <v>91903.255139999994</v>
      </c>
      <c r="E15" s="151">
        <f>SUM(E12:E14)</f>
        <v>175720.9</v>
      </c>
      <c r="F15" s="110">
        <f>SUM(F12:F14)</f>
        <v>274</v>
      </c>
      <c r="G15" s="98"/>
      <c r="H15" s="99">
        <f>SUM(H12:H14)</f>
        <v>282</v>
      </c>
      <c r="I15" s="98"/>
      <c r="J15" s="98">
        <f>SUM(J12:J14)</f>
        <v>4688.1399999999994</v>
      </c>
      <c r="K15" s="99">
        <f>SUM(K12:K14)</f>
        <v>2538</v>
      </c>
      <c r="L15" s="102">
        <f>SUM(L12:L14)</f>
        <v>4223.49</v>
      </c>
      <c r="M15" s="110">
        <f>SUM(M12:M14)</f>
        <v>17247</v>
      </c>
      <c r="N15" s="115"/>
      <c r="O15" s="99">
        <f>SUM(O12:O14)</f>
        <v>44095.539999999994</v>
      </c>
      <c r="P15" s="111">
        <f>SUM(P12:P14)</f>
        <v>40699.439999999995</v>
      </c>
    </row>
    <row r="16" spans="1:16" ht="15">
      <c r="A16" s="196" t="s">
        <v>47</v>
      </c>
      <c r="B16" s="108"/>
      <c r="C16" s="98"/>
      <c r="D16" s="115">
        <f t="shared" si="0"/>
        <v>0</v>
      </c>
      <c r="E16" s="150"/>
      <c r="F16" s="108">
        <v>53</v>
      </c>
      <c r="G16" s="98">
        <v>17.11</v>
      </c>
      <c r="H16" s="98">
        <v>53</v>
      </c>
      <c r="I16" s="98">
        <v>9</v>
      </c>
      <c r="J16" s="98">
        <f>F16*G16</f>
        <v>906.82999999999993</v>
      </c>
      <c r="K16" s="98">
        <f>H16*I16</f>
        <v>477</v>
      </c>
      <c r="L16" s="101">
        <v>1383.83</v>
      </c>
      <c r="M16" s="108">
        <v>2231</v>
      </c>
      <c r="N16" s="115">
        <f>O16/M16</f>
        <v>2.5573554459883461</v>
      </c>
      <c r="O16" s="155">
        <v>5705.46</v>
      </c>
      <c r="P16" s="109">
        <v>5705.46</v>
      </c>
    </row>
    <row r="17" spans="1:16" ht="15">
      <c r="A17" s="196" t="s">
        <v>48</v>
      </c>
      <c r="B17" s="108"/>
      <c r="C17" s="98"/>
      <c r="D17" s="115">
        <f t="shared" si="0"/>
        <v>0</v>
      </c>
      <c r="E17" s="150"/>
      <c r="F17" s="108">
        <v>33</v>
      </c>
      <c r="G17" s="98">
        <v>17.11</v>
      </c>
      <c r="H17" s="98">
        <v>33</v>
      </c>
      <c r="I17" s="98">
        <v>9</v>
      </c>
      <c r="J17" s="98">
        <f>F17*G17</f>
        <v>564.63</v>
      </c>
      <c r="K17" s="98">
        <f>H17*I17</f>
        <v>297</v>
      </c>
      <c r="L17" s="101">
        <v>861.63</v>
      </c>
      <c r="M17" s="108">
        <v>1138</v>
      </c>
      <c r="N17" s="115">
        <f>O17/M17</f>
        <v>2.557363796133568</v>
      </c>
      <c r="O17" s="155">
        <v>2910.28</v>
      </c>
      <c r="P17" s="109">
        <v>2910.28</v>
      </c>
    </row>
    <row r="18" spans="1:16" ht="15">
      <c r="A18" s="196" t="s">
        <v>49</v>
      </c>
      <c r="B18" s="108">
        <v>0</v>
      </c>
      <c r="C18" s="98">
        <v>1826.34</v>
      </c>
      <c r="D18" s="115">
        <f t="shared" si="0"/>
        <v>0</v>
      </c>
      <c r="E18" s="150">
        <v>45368.58</v>
      </c>
      <c r="F18" s="108">
        <v>91</v>
      </c>
      <c r="G18" s="98">
        <v>17.11</v>
      </c>
      <c r="H18" s="98">
        <v>91</v>
      </c>
      <c r="I18" s="98">
        <v>9</v>
      </c>
      <c r="J18" s="98">
        <f>F18*G18</f>
        <v>1557.01</v>
      </c>
      <c r="K18" s="98">
        <f>H18*I18</f>
        <v>819</v>
      </c>
      <c r="L18" s="101">
        <v>2376.0100000000002</v>
      </c>
      <c r="M18" s="108">
        <v>1940</v>
      </c>
      <c r="N18" s="115">
        <f>O18/M18</f>
        <v>2.5573556701030928</v>
      </c>
      <c r="O18" s="192">
        <v>4961.2700000000004</v>
      </c>
      <c r="P18" s="109">
        <v>4961.2700000000004</v>
      </c>
    </row>
    <row r="19" spans="1:16" ht="15.75">
      <c r="A19" s="195" t="s">
        <v>50</v>
      </c>
      <c r="B19" s="110">
        <f>SUM(B18)</f>
        <v>0</v>
      </c>
      <c r="C19" s="99"/>
      <c r="D19" s="115">
        <f>SUM(D16:D18)</f>
        <v>0</v>
      </c>
      <c r="E19" s="151">
        <f>SUM(E16:E18)</f>
        <v>45368.58</v>
      </c>
      <c r="F19" s="110">
        <f>SUM(F16:F18)</f>
        <v>177</v>
      </c>
      <c r="G19" s="99"/>
      <c r="H19" s="99">
        <f>SUM(H16:H18)</f>
        <v>177</v>
      </c>
      <c r="I19" s="99"/>
      <c r="J19" s="99">
        <f>SUM(J16:J18)</f>
        <v>3028.4700000000003</v>
      </c>
      <c r="K19" s="99">
        <f>SUM(K16:K18)</f>
        <v>1593</v>
      </c>
      <c r="L19" s="102">
        <f>SUM(L16:L18)</f>
        <v>4621.47</v>
      </c>
      <c r="M19" s="110">
        <f>SUM(M16:M18)</f>
        <v>5309</v>
      </c>
      <c r="N19" s="115"/>
      <c r="O19" s="99">
        <f>SUM(O16:O18)</f>
        <v>13577.01</v>
      </c>
      <c r="P19" s="111">
        <f>SUM(P16:P18)</f>
        <v>13577.01</v>
      </c>
    </row>
    <row r="20" spans="1:16" ht="15">
      <c r="A20" s="196" t="s">
        <v>51</v>
      </c>
      <c r="B20" s="108">
        <v>20.774999999999999</v>
      </c>
      <c r="C20" s="98">
        <v>1826.34</v>
      </c>
      <c r="D20" s="115">
        <f t="shared" si="0"/>
        <v>37942.213499999998</v>
      </c>
      <c r="E20" s="150"/>
      <c r="F20" s="108">
        <v>88</v>
      </c>
      <c r="G20" s="98">
        <v>17.11</v>
      </c>
      <c r="H20" s="98">
        <v>95</v>
      </c>
      <c r="I20" s="98">
        <v>9</v>
      </c>
      <c r="J20" s="98">
        <f>F20*G20</f>
        <v>1505.6799999999998</v>
      </c>
      <c r="K20" s="98">
        <f>H20*I20</f>
        <v>855</v>
      </c>
      <c r="L20" s="101">
        <v>2360.6799999999998</v>
      </c>
      <c r="M20" s="108">
        <v>5362</v>
      </c>
      <c r="N20" s="115">
        <f>O20/M20</f>
        <v>2.5456695262961579</v>
      </c>
      <c r="O20" s="155">
        <v>13649.88</v>
      </c>
      <c r="P20" s="109">
        <v>13649.88</v>
      </c>
    </row>
    <row r="21" spans="1:16" ht="15">
      <c r="A21" s="196" t="s">
        <v>52</v>
      </c>
      <c r="B21" s="108">
        <v>117.38500000000001</v>
      </c>
      <c r="C21" s="98">
        <v>1826.34</v>
      </c>
      <c r="D21" s="204">
        <f t="shared" si="0"/>
        <v>214384.9209</v>
      </c>
      <c r="E21" s="150">
        <v>199984.24</v>
      </c>
      <c r="F21" s="108">
        <v>92</v>
      </c>
      <c r="G21" s="98">
        <v>17.11</v>
      </c>
      <c r="H21" s="98">
        <v>92</v>
      </c>
      <c r="I21" s="98">
        <v>9</v>
      </c>
      <c r="J21" s="98">
        <f>F21*G21</f>
        <v>1574.12</v>
      </c>
      <c r="K21" s="98">
        <f>H21*I21</f>
        <v>828</v>
      </c>
      <c r="L21" s="101">
        <v>2402.12</v>
      </c>
      <c r="M21" s="108">
        <v>8333</v>
      </c>
      <c r="N21" s="115">
        <f>O21/M21</f>
        <v>2.5456678267130686</v>
      </c>
      <c r="O21" s="155">
        <v>21213.05</v>
      </c>
      <c r="P21" s="109">
        <v>21213.05</v>
      </c>
    </row>
    <row r="22" spans="1:16" ht="15">
      <c r="A22" s="196" t="s">
        <v>53</v>
      </c>
      <c r="B22" s="209">
        <v>147.488</v>
      </c>
      <c r="C22" s="98">
        <v>1826.34</v>
      </c>
      <c r="D22" s="115">
        <f t="shared" si="0"/>
        <v>269363.23391999997</v>
      </c>
      <c r="E22" s="150">
        <v>314015.76</v>
      </c>
      <c r="F22" s="108">
        <v>294</v>
      </c>
      <c r="G22" s="98">
        <v>17.11</v>
      </c>
      <c r="H22" s="98">
        <v>297</v>
      </c>
      <c r="I22" s="98">
        <v>9</v>
      </c>
      <c r="J22" s="98">
        <f>F22*G22</f>
        <v>5030.34</v>
      </c>
      <c r="K22" s="98">
        <f>H22*I22</f>
        <v>2673</v>
      </c>
      <c r="L22" s="101">
        <v>7703.34</v>
      </c>
      <c r="M22" s="108">
        <v>15247</v>
      </c>
      <c r="N22" s="115">
        <v>2.5499999999999998</v>
      </c>
      <c r="O22" s="155">
        <v>40153.360000000001</v>
      </c>
      <c r="P22" s="109">
        <v>40153.360000000001</v>
      </c>
    </row>
    <row r="23" spans="1:16" ht="16.5" thickBot="1">
      <c r="A23" s="195" t="s">
        <v>54</v>
      </c>
      <c r="B23" s="120">
        <f>SUM(B20:B22)</f>
        <v>285.64800000000002</v>
      </c>
      <c r="C23" s="121"/>
      <c r="D23" s="205">
        <f>SUM(D20:D22)</f>
        <v>521690.36831999995</v>
      </c>
      <c r="E23" s="151">
        <f>SUM(E20:E22)</f>
        <v>514000</v>
      </c>
      <c r="F23" s="110">
        <f>SUM(F20:F22)</f>
        <v>474</v>
      </c>
      <c r="G23" s="99"/>
      <c r="H23" s="99">
        <f>SUM(H20:H22)</f>
        <v>484</v>
      </c>
      <c r="I23" s="99"/>
      <c r="J23" s="99">
        <f>SUM(J20:J22)</f>
        <v>8110.1399999999994</v>
      </c>
      <c r="K23" s="99">
        <f>SUM(K20:K22)</f>
        <v>4356</v>
      </c>
      <c r="L23" s="102">
        <f>SUM(L20:L22)</f>
        <v>12466.14</v>
      </c>
      <c r="M23" s="110">
        <f>SUM(M20:M22)</f>
        <v>28942</v>
      </c>
      <c r="N23" s="115"/>
      <c r="O23" s="99">
        <f>SUM(O20:O22)</f>
        <v>75016.290000000008</v>
      </c>
      <c r="P23" s="111">
        <f>SUM(P20:P22)</f>
        <v>75016.290000000008</v>
      </c>
    </row>
    <row r="24" spans="1:16" ht="15.75" thickBot="1">
      <c r="A24" s="97" t="s">
        <v>55</v>
      </c>
      <c r="B24" s="96">
        <f>B23+B19+B15+B11</f>
        <v>727.52200000000005</v>
      </c>
      <c r="C24" s="96"/>
      <c r="D24" s="206">
        <f>D23+D19+D15+D11</f>
        <v>1328702.52948</v>
      </c>
      <c r="E24" s="151">
        <f>E23+E19+E15+E11+E7</f>
        <v>1366378.92</v>
      </c>
      <c r="F24" s="120">
        <f>F23+F19+F15+F11</f>
        <v>1240</v>
      </c>
      <c r="G24" s="120"/>
      <c r="H24" s="120">
        <f>H23+H19+H15+H11</f>
        <v>1168</v>
      </c>
      <c r="I24" s="121"/>
      <c r="J24" s="121">
        <f>J11+J15+J19+J23</f>
        <v>21216.399999999998</v>
      </c>
      <c r="K24" s="121">
        <f>K23+K19+K15+K11</f>
        <v>11322</v>
      </c>
      <c r="L24" s="123">
        <f>L23+L19+L15+L11+L7</f>
        <v>32538.399999999998</v>
      </c>
      <c r="M24" s="120">
        <f>M23+M19+M15+M11</f>
        <v>64593</v>
      </c>
      <c r="N24" s="121"/>
      <c r="O24" s="121">
        <f>O23+O19+O15+O11+O7</f>
        <v>164860.31</v>
      </c>
      <c r="P24" s="122">
        <f>P23+P19+P15+P11+P7</f>
        <v>164860.31</v>
      </c>
    </row>
    <row r="25" spans="1:16" ht="18.75">
      <c r="A25" s="116" t="s">
        <v>56</v>
      </c>
      <c r="D25" s="117"/>
      <c r="E25" s="213">
        <f>D24-E24</f>
        <v>-37676.390519999899</v>
      </c>
      <c r="F25" s="117"/>
      <c r="G25" s="148" t="s">
        <v>189</v>
      </c>
      <c r="H25" s="148"/>
      <c r="I25" s="149" t="s">
        <v>190</v>
      </c>
      <c r="J25" s="148"/>
      <c r="K25" s="117"/>
      <c r="L25" s="118">
        <f>K24+J24-L24</f>
        <v>0</v>
      </c>
      <c r="M25" s="117"/>
      <c r="N25" s="117"/>
      <c r="O25" s="117"/>
      <c r="P25" s="201">
        <f>O24-P24</f>
        <v>0</v>
      </c>
    </row>
    <row r="26" spans="1:16" ht="15.75">
      <c r="A26" s="95" t="s">
        <v>207</v>
      </c>
      <c r="E26" s="95">
        <v>0</v>
      </c>
      <c r="F26" s="95"/>
      <c r="G26" s="95"/>
      <c r="H26" s="95"/>
      <c r="I26" s="95"/>
      <c r="J26" s="95"/>
      <c r="K26" s="95"/>
      <c r="L26" s="95">
        <v>0</v>
      </c>
      <c r="O26" s="6">
        <v>0</v>
      </c>
    </row>
    <row r="27" spans="1:16">
      <c r="A27" t="s">
        <v>213</v>
      </c>
      <c r="B27">
        <f>B24+'2017'!B23</f>
        <v>948.16000000000008</v>
      </c>
    </row>
    <row r="29" spans="1:16">
      <c r="B29">
        <v>662.51099999999997</v>
      </c>
    </row>
    <row r="54" spans="19:20">
      <c r="S54" t="s">
        <v>220</v>
      </c>
      <c r="T54">
        <v>0</v>
      </c>
    </row>
  </sheetData>
  <mergeCells count="2">
    <mergeCell ref="F4:L4"/>
    <mergeCell ref="M4:P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>
      <selection activeCell="S13" sqref="S13"/>
    </sheetView>
  </sheetViews>
  <sheetFormatPr defaultRowHeight="12.75"/>
  <cols>
    <col min="2" max="2" width="7.28515625" customWidth="1"/>
    <col min="3" max="3" width="8.28515625" customWidth="1"/>
    <col min="4" max="4" width="11" customWidth="1"/>
    <col min="5" max="5" width="11.85546875" customWidth="1"/>
    <col min="6" max="6" width="5.85546875" customWidth="1"/>
    <col min="7" max="7" width="6.140625" customWidth="1"/>
    <col min="8" max="8" width="5.7109375" customWidth="1"/>
    <col min="9" max="9" width="3.5703125" customWidth="1"/>
    <col min="10" max="10" width="8.5703125" customWidth="1"/>
    <col min="11" max="11" width="7.28515625" customWidth="1"/>
    <col min="12" max="12" width="8.7109375" customWidth="1"/>
    <col min="13" max="13" width="6.85546875" customWidth="1"/>
    <col min="14" max="14" width="5.85546875" customWidth="1"/>
    <col min="15" max="15" width="12" customWidth="1"/>
    <col min="16" max="16" width="10.85546875" customWidth="1"/>
  </cols>
  <sheetData>
    <row r="1" spans="1:16" ht="20.25">
      <c r="B1" s="118" t="s">
        <v>215</v>
      </c>
      <c r="M1" s="154"/>
    </row>
    <row r="2" spans="1:16" ht="23.25" customHeight="1" thickBot="1">
      <c r="B2" s="118"/>
      <c r="G2" s="198" t="s">
        <v>229</v>
      </c>
      <c r="H2" s="198"/>
      <c r="M2" s="154"/>
    </row>
    <row r="3" spans="1:16" ht="13.5" hidden="1" thickBot="1">
      <c r="C3" s="194" t="s">
        <v>192</v>
      </c>
    </row>
    <row r="4" spans="1:16" ht="20.25">
      <c r="B4" s="103" t="s">
        <v>107</v>
      </c>
      <c r="C4" s="104"/>
      <c r="D4" s="104"/>
      <c r="E4" s="112"/>
      <c r="F4" s="248" t="s">
        <v>108</v>
      </c>
      <c r="G4" s="249"/>
      <c r="H4" s="249"/>
      <c r="I4" s="249"/>
      <c r="J4" s="249"/>
      <c r="K4" s="249"/>
      <c r="L4" s="250"/>
      <c r="M4" s="248" t="s">
        <v>109</v>
      </c>
      <c r="N4" s="249"/>
      <c r="O4" s="249"/>
      <c r="P4" s="250"/>
    </row>
    <row r="5" spans="1:16" ht="15">
      <c r="A5" s="94"/>
      <c r="B5" s="106" t="s">
        <v>216</v>
      </c>
      <c r="C5" s="97"/>
      <c r="D5" s="97"/>
      <c r="E5" s="150"/>
      <c r="F5" s="106" t="s">
        <v>216</v>
      </c>
      <c r="G5" s="97"/>
      <c r="H5" s="97"/>
      <c r="I5" s="97"/>
      <c r="J5" s="97"/>
      <c r="K5" s="97"/>
      <c r="L5" s="100"/>
      <c r="M5" s="106" t="s">
        <v>217</v>
      </c>
      <c r="N5" s="97"/>
      <c r="O5" s="97"/>
      <c r="P5" s="107"/>
    </row>
    <row r="6" spans="1:16" ht="47.25" customHeight="1">
      <c r="B6" s="108" t="s">
        <v>30</v>
      </c>
      <c r="C6" s="98" t="s">
        <v>31</v>
      </c>
      <c r="D6" s="98" t="s">
        <v>11</v>
      </c>
      <c r="E6" s="150" t="s">
        <v>32</v>
      </c>
      <c r="F6" s="200" t="s">
        <v>205</v>
      </c>
      <c r="G6" s="197" t="s">
        <v>195</v>
      </c>
      <c r="H6" s="200" t="s">
        <v>206</v>
      </c>
      <c r="I6" s="199" t="s">
        <v>196</v>
      </c>
      <c r="J6" s="197" t="s">
        <v>203</v>
      </c>
      <c r="K6" s="197" t="s">
        <v>204</v>
      </c>
      <c r="L6" s="101" t="s">
        <v>32</v>
      </c>
      <c r="M6" s="108" t="s">
        <v>19</v>
      </c>
      <c r="N6" s="98" t="s">
        <v>37</v>
      </c>
      <c r="O6" s="98" t="s">
        <v>11</v>
      </c>
      <c r="P6" s="109" t="s">
        <v>32</v>
      </c>
    </row>
    <row r="7" spans="1:16" ht="15.75">
      <c r="A7" s="195" t="s">
        <v>212</v>
      </c>
      <c r="B7" s="210"/>
      <c r="C7" s="211"/>
      <c r="D7" s="211"/>
      <c r="E7" s="212"/>
      <c r="F7" s="210"/>
      <c r="G7" s="211"/>
      <c r="H7" s="211"/>
      <c r="I7" s="211"/>
      <c r="J7" s="211"/>
      <c r="K7" s="211"/>
      <c r="L7" s="195"/>
      <c r="M7" s="210"/>
      <c r="N7" s="211"/>
      <c r="O7" s="211">
        <v>0</v>
      </c>
      <c r="P7" s="170"/>
    </row>
    <row r="8" spans="1:16" ht="15">
      <c r="A8" s="196" t="s">
        <v>38</v>
      </c>
      <c r="B8" s="108">
        <v>121.968</v>
      </c>
      <c r="C8" s="98">
        <v>2370.88</v>
      </c>
      <c r="D8" s="204">
        <f>B8*C8</f>
        <v>289171.49184000003</v>
      </c>
      <c r="E8" s="150"/>
      <c r="F8" s="108"/>
      <c r="G8" s="98">
        <v>17.11</v>
      </c>
      <c r="H8" s="98"/>
      <c r="I8" s="98">
        <v>9</v>
      </c>
      <c r="J8" s="98">
        <f>F8*G8</f>
        <v>0</v>
      </c>
      <c r="K8" s="98"/>
      <c r="L8" s="101">
        <v>0</v>
      </c>
      <c r="M8" s="108"/>
      <c r="N8" s="115"/>
      <c r="O8" s="131"/>
      <c r="P8" s="109"/>
    </row>
    <row r="9" spans="1:16" ht="15">
      <c r="A9" s="196" t="s">
        <v>39</v>
      </c>
      <c r="B9" s="178">
        <v>60.09</v>
      </c>
      <c r="C9" s="98">
        <v>2370.88</v>
      </c>
      <c r="D9" s="204">
        <f t="shared" ref="D9:D22" si="0">B9*C9</f>
        <v>142466.17920000001</v>
      </c>
      <c r="E9" s="150">
        <v>384797.92</v>
      </c>
      <c r="F9" s="108">
        <v>95</v>
      </c>
      <c r="G9" s="98">
        <v>17.11</v>
      </c>
      <c r="H9" s="98">
        <v>95</v>
      </c>
      <c r="I9" s="98">
        <v>9</v>
      </c>
      <c r="J9" s="98">
        <f>F9*G9</f>
        <v>1625.45</v>
      </c>
      <c r="K9" s="98">
        <f>H9*I9</f>
        <v>855</v>
      </c>
      <c r="L9" s="101">
        <v>2480.4499999999998</v>
      </c>
      <c r="M9" s="108">
        <v>11382</v>
      </c>
      <c r="N9" s="115">
        <f>O9/M9</f>
        <v>2.939840976981198</v>
      </c>
      <c r="O9" s="155">
        <v>33461.269999999997</v>
      </c>
      <c r="P9" s="109">
        <v>33461.269999999997</v>
      </c>
    </row>
    <row r="10" spans="1:16" ht="15">
      <c r="A10" s="196" t="s">
        <v>40</v>
      </c>
      <c r="B10" s="108">
        <v>102.05</v>
      </c>
      <c r="C10" s="98">
        <v>2370.88</v>
      </c>
      <c r="D10" s="204">
        <f t="shared" si="0"/>
        <v>241948.304</v>
      </c>
      <c r="E10" s="150">
        <v>288802.08</v>
      </c>
      <c r="F10" s="108">
        <v>138</v>
      </c>
      <c r="G10" s="98">
        <v>17.11</v>
      </c>
      <c r="H10" s="98">
        <v>138</v>
      </c>
      <c r="I10" s="98">
        <v>9</v>
      </c>
      <c r="J10" s="98">
        <f>F10*G10</f>
        <v>2361.1799999999998</v>
      </c>
      <c r="K10" s="98">
        <f>H10*I10</f>
        <v>1242</v>
      </c>
      <c r="L10" s="101">
        <v>3603.18</v>
      </c>
      <c r="M10" s="108">
        <v>7139</v>
      </c>
      <c r="N10" s="115">
        <f>O10/M10</f>
        <v>2.9220633141896624</v>
      </c>
      <c r="O10" s="215">
        <v>20860.61</v>
      </c>
      <c r="P10" s="150">
        <v>20538.73</v>
      </c>
    </row>
    <row r="11" spans="1:16" ht="15.75">
      <c r="A11" s="195" t="s">
        <v>41</v>
      </c>
      <c r="B11" s="110">
        <f>SUM(B8:B10)</f>
        <v>284.108</v>
      </c>
      <c r="C11" s="98"/>
      <c r="D11" s="207">
        <f>SUM(D8:D10)</f>
        <v>673585.97504000005</v>
      </c>
      <c r="E11" s="151">
        <f>SUM(E8:E10)</f>
        <v>673600</v>
      </c>
      <c r="F11" s="110">
        <f>SUM(F8:F10)</f>
        <v>233</v>
      </c>
      <c r="G11" s="98"/>
      <c r="H11" s="99">
        <f>SUM(H9:H10)</f>
        <v>233</v>
      </c>
      <c r="I11" s="98"/>
      <c r="J11" s="98">
        <f>SUM(J8:J10)</f>
        <v>3986.63</v>
      </c>
      <c r="K11" s="99">
        <f>SUM(K8:K10)</f>
        <v>2097</v>
      </c>
      <c r="L11" s="102">
        <f>SUM(L8:L10)</f>
        <v>6083.6299999999992</v>
      </c>
      <c r="M11" s="110">
        <f>SUM(M8:M10)</f>
        <v>18521</v>
      </c>
      <c r="N11" s="115">
        <f>O11/M11</f>
        <v>2.9329884995410613</v>
      </c>
      <c r="O11" s="99">
        <f>SUM(O8:O10)</f>
        <v>54321.88</v>
      </c>
      <c r="P11" s="111">
        <f>SUM(P8:P10)</f>
        <v>54000</v>
      </c>
    </row>
    <row r="12" spans="1:16" ht="15">
      <c r="A12" s="196" t="s">
        <v>43</v>
      </c>
      <c r="B12" s="108"/>
      <c r="C12" s="98"/>
      <c r="D12" s="115">
        <f t="shared" si="0"/>
        <v>0</v>
      </c>
      <c r="E12" s="150"/>
      <c r="F12" s="108">
        <v>112</v>
      </c>
      <c r="G12" s="98">
        <v>17.11</v>
      </c>
      <c r="H12" s="98">
        <v>112</v>
      </c>
      <c r="I12" s="98">
        <v>9</v>
      </c>
      <c r="J12" s="98">
        <f>F12*G12</f>
        <v>1916.32</v>
      </c>
      <c r="K12" s="98">
        <f>H12*I12</f>
        <v>1008</v>
      </c>
      <c r="L12" s="101">
        <v>2924.32</v>
      </c>
      <c r="M12" s="108">
        <v>6802</v>
      </c>
      <c r="N12" s="115">
        <v>2.93</v>
      </c>
      <c r="O12" s="155">
        <v>19959.12</v>
      </c>
      <c r="P12" s="109">
        <v>20281</v>
      </c>
    </row>
    <row r="13" spans="1:16" ht="15">
      <c r="A13" s="196" t="s">
        <v>44</v>
      </c>
      <c r="B13" s="108"/>
      <c r="C13" s="98"/>
      <c r="D13" s="115">
        <f t="shared" si="0"/>
        <v>0</v>
      </c>
      <c r="E13" s="150"/>
      <c r="F13" s="108">
        <v>81</v>
      </c>
      <c r="G13" s="98">
        <v>17.11</v>
      </c>
      <c r="H13" s="98">
        <v>81</v>
      </c>
      <c r="I13" s="98">
        <v>9</v>
      </c>
      <c r="J13" s="98">
        <f>F13*G13</f>
        <v>1385.9099999999999</v>
      </c>
      <c r="K13" s="98">
        <f>H13*I13</f>
        <v>729</v>
      </c>
      <c r="L13" s="101">
        <v>2114.91</v>
      </c>
      <c r="M13" s="108">
        <v>6209</v>
      </c>
      <c r="N13" s="115">
        <f>O13/M13</f>
        <v>2.9144322757287808</v>
      </c>
      <c r="O13" s="155">
        <v>18095.71</v>
      </c>
      <c r="P13" s="109">
        <v>18095.71</v>
      </c>
    </row>
    <row r="14" spans="1:16" ht="15">
      <c r="A14" s="196" t="s">
        <v>45</v>
      </c>
      <c r="B14" s="108"/>
      <c r="C14" s="98"/>
      <c r="D14" s="115">
        <f t="shared" si="0"/>
        <v>0</v>
      </c>
      <c r="E14" s="150"/>
      <c r="F14" s="108">
        <v>86</v>
      </c>
      <c r="G14" s="98">
        <v>17.11</v>
      </c>
      <c r="H14" s="98">
        <v>96</v>
      </c>
      <c r="I14" s="98">
        <v>9</v>
      </c>
      <c r="J14" s="98">
        <f>F14*G14</f>
        <v>1471.46</v>
      </c>
      <c r="K14" s="98">
        <f>H14*I14</f>
        <v>864</v>
      </c>
      <c r="L14" s="101">
        <v>2335.46</v>
      </c>
      <c r="M14" s="108">
        <v>2706</v>
      </c>
      <c r="N14" s="115">
        <f>O14/M14</f>
        <v>3.0282594235033256</v>
      </c>
      <c r="O14" s="155">
        <v>8194.4699999999993</v>
      </c>
      <c r="P14" s="109">
        <v>8194.4699999999993</v>
      </c>
    </row>
    <row r="15" spans="1:16" ht="15.75">
      <c r="A15" s="195" t="s">
        <v>46</v>
      </c>
      <c r="B15" s="110"/>
      <c r="C15" s="99"/>
      <c r="D15" s="125">
        <f>SUM(D12:D14)</f>
        <v>0</v>
      </c>
      <c r="E15" s="151">
        <f>SUM(E12:E14)</f>
        <v>0</v>
      </c>
      <c r="F15" s="110">
        <f>SUM(F12:F14)</f>
        <v>279</v>
      </c>
      <c r="G15" s="98"/>
      <c r="H15" s="99">
        <f>SUM(H12:H14)</f>
        <v>289</v>
      </c>
      <c r="I15" s="98"/>
      <c r="J15" s="98">
        <f>SUM(J12:J14)</f>
        <v>4773.6899999999996</v>
      </c>
      <c r="K15" s="99">
        <f>SUM(K12:K14)</f>
        <v>2601</v>
      </c>
      <c r="L15" s="102">
        <f>SUM(L12:L14)</f>
        <v>7374.69</v>
      </c>
      <c r="M15" s="110">
        <f>SUM(M12:M14)</f>
        <v>15717</v>
      </c>
      <c r="N15" s="115"/>
      <c r="O15" s="99">
        <f>SUM(O12:O14)</f>
        <v>46249.3</v>
      </c>
      <c r="P15" s="111">
        <f>SUM(P12:P14)</f>
        <v>46571.18</v>
      </c>
    </row>
    <row r="16" spans="1:16" ht="15">
      <c r="A16" s="196" t="s">
        <v>47</v>
      </c>
      <c r="B16" s="108"/>
      <c r="C16" s="98"/>
      <c r="D16" s="204">
        <f t="shared" si="0"/>
        <v>0</v>
      </c>
      <c r="E16" s="150"/>
      <c r="F16" s="108">
        <v>49</v>
      </c>
      <c r="G16" s="98">
        <v>17.11</v>
      </c>
      <c r="H16" s="98">
        <v>49</v>
      </c>
      <c r="I16" s="98">
        <v>9</v>
      </c>
      <c r="J16" s="98">
        <f>F16*G16</f>
        <v>838.39</v>
      </c>
      <c r="K16" s="98">
        <f>H16*I16</f>
        <v>441</v>
      </c>
      <c r="L16" s="101">
        <v>1279.3900000000001</v>
      </c>
      <c r="M16" s="108">
        <v>1900</v>
      </c>
      <c r="N16" s="115">
        <f>O16/M16</f>
        <v>2.9254736842105262</v>
      </c>
      <c r="O16" s="155">
        <v>5558.4</v>
      </c>
      <c r="P16" s="109">
        <v>5558.4</v>
      </c>
    </row>
    <row r="17" spans="1:16" ht="15">
      <c r="A17" s="196" t="s">
        <v>48</v>
      </c>
      <c r="B17" s="108">
        <v>455</v>
      </c>
      <c r="C17" s="98">
        <v>2370.88</v>
      </c>
      <c r="D17" s="204">
        <f t="shared" si="0"/>
        <v>1078750.4000000001</v>
      </c>
      <c r="E17" s="150">
        <v>1078750.6000000001</v>
      </c>
      <c r="F17" s="108">
        <v>20</v>
      </c>
      <c r="G17" s="98">
        <v>17.11</v>
      </c>
      <c r="H17" s="98">
        <v>20</v>
      </c>
      <c r="I17" s="98">
        <v>9</v>
      </c>
      <c r="J17" s="98">
        <f>F17*G17</f>
        <v>342.2</v>
      </c>
      <c r="K17" s="98">
        <f>H17*I17</f>
        <v>180</v>
      </c>
      <c r="L17" s="101">
        <v>522.20000000000005</v>
      </c>
      <c r="M17" s="108"/>
      <c r="N17" s="115"/>
      <c r="O17" s="155"/>
      <c r="P17" s="109"/>
    </row>
    <row r="18" spans="1:16" ht="15">
      <c r="A18" s="196" t="s">
        <v>49</v>
      </c>
      <c r="B18" s="108">
        <v>0</v>
      </c>
      <c r="C18" s="98"/>
      <c r="D18" s="204">
        <f t="shared" si="0"/>
        <v>0</v>
      </c>
      <c r="E18" s="150"/>
      <c r="F18" s="108"/>
      <c r="G18" s="98">
        <v>17.11</v>
      </c>
      <c r="H18" s="98"/>
      <c r="I18" s="98">
        <v>9</v>
      </c>
      <c r="J18" s="98">
        <f>F18*G18</f>
        <v>0</v>
      </c>
      <c r="K18" s="98"/>
      <c r="L18" s="101"/>
      <c r="M18" s="108"/>
      <c r="N18" s="115"/>
      <c r="O18" s="192"/>
      <c r="P18" s="109"/>
    </row>
    <row r="19" spans="1:16" ht="15.75">
      <c r="A19" s="195" t="s">
        <v>50</v>
      </c>
      <c r="B19" s="110">
        <f>SUM(B17:B18)</f>
        <v>455</v>
      </c>
      <c r="C19" s="99"/>
      <c r="D19" s="204">
        <f>SUM(D16:D18)</f>
        <v>1078750.4000000001</v>
      </c>
      <c r="E19" s="151">
        <f>SUM(E16:E18)</f>
        <v>1078750.6000000001</v>
      </c>
      <c r="F19" s="110">
        <f>SUM(F16:F18)</f>
        <v>69</v>
      </c>
      <c r="G19" s="99"/>
      <c r="H19" s="99">
        <f>SUM(H16:H18)</f>
        <v>69</v>
      </c>
      <c r="I19" s="99"/>
      <c r="J19" s="99">
        <f>SUM(J16:J18)</f>
        <v>1180.5899999999999</v>
      </c>
      <c r="K19" s="99">
        <f>SUM(K16:K18)</f>
        <v>621</v>
      </c>
      <c r="L19" s="102">
        <f>SUM(L16:L18)</f>
        <v>1801.5900000000001</v>
      </c>
      <c r="M19" s="110">
        <f>SUM(M16:M18)</f>
        <v>1900</v>
      </c>
      <c r="N19" s="115"/>
      <c r="O19" s="99">
        <f>SUM(O16:O18)</f>
        <v>5558.4</v>
      </c>
      <c r="P19" s="111">
        <f>SUM(P16:P18)</f>
        <v>5558.4</v>
      </c>
    </row>
    <row r="20" spans="1:16" ht="15">
      <c r="A20" s="196" t="s">
        <v>51</v>
      </c>
      <c r="B20" s="108"/>
      <c r="C20" s="98"/>
      <c r="D20" s="115">
        <f t="shared" si="0"/>
        <v>0</v>
      </c>
      <c r="E20" s="150"/>
      <c r="F20" s="108"/>
      <c r="G20" s="98">
        <v>17.11</v>
      </c>
      <c r="H20" s="98"/>
      <c r="I20" s="98">
        <v>9</v>
      </c>
      <c r="J20" s="98">
        <f>F20*G20</f>
        <v>0</v>
      </c>
      <c r="K20" s="98"/>
      <c r="L20" s="101"/>
      <c r="M20" s="108"/>
      <c r="N20" s="115"/>
      <c r="O20" s="155"/>
      <c r="P20" s="109"/>
    </row>
    <row r="21" spans="1:16" ht="15">
      <c r="A21" s="196" t="s">
        <v>52</v>
      </c>
      <c r="B21" s="108"/>
      <c r="C21" s="98"/>
      <c r="D21" s="204">
        <f t="shared" si="0"/>
        <v>0</v>
      </c>
      <c r="E21" s="150"/>
      <c r="F21" s="108"/>
      <c r="G21" s="98">
        <v>17.11</v>
      </c>
      <c r="H21" s="98"/>
      <c r="I21" s="98">
        <v>9</v>
      </c>
      <c r="J21" s="98">
        <f>F21*G21</f>
        <v>0</v>
      </c>
      <c r="K21" s="98"/>
      <c r="L21" s="101"/>
      <c r="M21" s="108"/>
      <c r="N21" s="115"/>
      <c r="O21" s="155"/>
      <c r="P21" s="109"/>
    </row>
    <row r="22" spans="1:16" ht="15">
      <c r="A22" s="196" t="s">
        <v>53</v>
      </c>
      <c r="B22" s="209"/>
      <c r="C22" s="98"/>
      <c r="D22" s="115">
        <f t="shared" si="0"/>
        <v>0</v>
      </c>
      <c r="E22" s="150"/>
      <c r="F22" s="108"/>
      <c r="G22" s="98">
        <v>17.11</v>
      </c>
      <c r="H22" s="98"/>
      <c r="I22" s="98">
        <v>9</v>
      </c>
      <c r="J22" s="98">
        <f>F22*G22</f>
        <v>0</v>
      </c>
      <c r="K22" s="98"/>
      <c r="L22" s="101"/>
      <c r="M22" s="108"/>
      <c r="N22" s="115"/>
      <c r="O22" s="208"/>
      <c r="P22" s="109"/>
    </row>
    <row r="23" spans="1:16" ht="16.5" thickBot="1">
      <c r="A23" s="195" t="s">
        <v>54</v>
      </c>
      <c r="B23" s="120">
        <f>SUM(B20:B22)</f>
        <v>0</v>
      </c>
      <c r="C23" s="121"/>
      <c r="D23" s="205">
        <f>SUM(D20:D22)</f>
        <v>0</v>
      </c>
      <c r="E23" s="151">
        <f>SUM(E20:E22)</f>
        <v>0</v>
      </c>
      <c r="F23" s="110">
        <f>SUM(F20:F22)</f>
        <v>0</v>
      </c>
      <c r="G23" s="99"/>
      <c r="H23" s="99">
        <f>SUM(H20:H22)</f>
        <v>0</v>
      </c>
      <c r="I23" s="99"/>
      <c r="J23" s="99">
        <f>SUM(J20:J22)</f>
        <v>0</v>
      </c>
      <c r="K23" s="99">
        <f>SUM(K20:K22)</f>
        <v>0</v>
      </c>
      <c r="L23" s="102">
        <f>SUM(L20:L22)</f>
        <v>0</v>
      </c>
      <c r="M23" s="110">
        <f>SUM(M20:M22)</f>
        <v>0</v>
      </c>
      <c r="N23" s="115"/>
      <c r="O23" s="99">
        <f>SUM(O20:O22)</f>
        <v>0</v>
      </c>
      <c r="P23" s="111">
        <f>SUM(P20:P22)</f>
        <v>0</v>
      </c>
    </row>
    <row r="24" spans="1:16" ht="15.75" thickBot="1">
      <c r="A24" s="97" t="s">
        <v>55</v>
      </c>
      <c r="B24" s="96">
        <f>B23+B19+B15+B11</f>
        <v>739.10799999999995</v>
      </c>
      <c r="C24" s="96"/>
      <c r="D24" s="206">
        <f>D23+D19+D15+D11</f>
        <v>1752336.3750400003</v>
      </c>
      <c r="E24" s="151">
        <f>E23+E19+E15+E11+E7</f>
        <v>1752350.6</v>
      </c>
      <c r="F24" s="120">
        <f>F23+F19+F15+F11</f>
        <v>581</v>
      </c>
      <c r="G24" s="120"/>
      <c r="H24" s="120">
        <f>H23+H19+H15+H11</f>
        <v>591</v>
      </c>
      <c r="I24" s="121"/>
      <c r="J24" s="121">
        <f>J11+J15+J19+J23</f>
        <v>9940.91</v>
      </c>
      <c r="K24" s="121">
        <f>K23+K19+K15+K11</f>
        <v>5319</v>
      </c>
      <c r="L24" s="123">
        <f>L23+L19+L15+L11+L7</f>
        <v>15259.909999999998</v>
      </c>
      <c r="M24" s="120">
        <f>M23+M19+M15+M11</f>
        <v>36138</v>
      </c>
      <c r="N24" s="121"/>
      <c r="O24" s="121">
        <f>O23+O19+O15+O11+O7</f>
        <v>106129.58</v>
      </c>
      <c r="P24" s="122">
        <f>P23+P19+P15+P11+P7</f>
        <v>106129.58</v>
      </c>
    </row>
    <row r="25" spans="1:16" ht="18.75">
      <c r="A25" s="116" t="s">
        <v>56</v>
      </c>
      <c r="D25" s="117"/>
      <c r="E25" s="213">
        <f>D24-E24</f>
        <v>-14.224959999788553</v>
      </c>
      <c r="F25" s="117"/>
      <c r="G25" s="148" t="s">
        <v>189</v>
      </c>
      <c r="H25" s="148"/>
      <c r="I25" s="149" t="s">
        <v>190</v>
      </c>
      <c r="J25" s="148"/>
      <c r="K25" s="117"/>
      <c r="L25" s="118">
        <f>K24+J24-L24</f>
        <v>0</v>
      </c>
      <c r="M25" s="117"/>
      <c r="N25" s="117"/>
      <c r="O25" s="117"/>
      <c r="P25" s="201">
        <f>O24-P24</f>
        <v>0</v>
      </c>
    </row>
    <row r="26" spans="1:16" ht="15.75">
      <c r="A26" s="95" t="s">
        <v>207</v>
      </c>
      <c r="E26" s="95">
        <v>0</v>
      </c>
      <c r="F26" s="95"/>
      <c r="G26" s="95"/>
      <c r="H26" s="95"/>
      <c r="I26" s="95"/>
      <c r="J26" s="95"/>
      <c r="K26" s="95"/>
      <c r="L26" s="95">
        <v>0</v>
      </c>
      <c r="O26" s="6">
        <v>0</v>
      </c>
    </row>
    <row r="27" spans="1:16">
      <c r="A27" s="95" t="s">
        <v>213</v>
      </c>
      <c r="B27" s="95">
        <f>B24+B28</f>
        <v>1687.2669999999998</v>
      </c>
    </row>
    <row r="28" spans="1:16">
      <c r="B28">
        <v>948.15899999999999</v>
      </c>
    </row>
    <row r="29" spans="1:16">
      <c r="A29" t="s">
        <v>218</v>
      </c>
      <c r="B29" t="s">
        <v>219</v>
      </c>
    </row>
    <row r="30" spans="1:16" ht="25.5">
      <c r="A30" s="227"/>
    </row>
  </sheetData>
  <mergeCells count="2">
    <mergeCell ref="F4:L4"/>
    <mergeCell ref="M4:P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M21" sqref="M21"/>
    </sheetView>
  </sheetViews>
  <sheetFormatPr defaultRowHeight="12.75"/>
  <cols>
    <col min="2" max="2" width="10.28515625" customWidth="1"/>
    <col min="4" max="4" width="13.140625" customWidth="1"/>
    <col min="5" max="5" width="15" customWidth="1"/>
  </cols>
  <sheetData>
    <row r="1" spans="1:5" ht="20.25">
      <c r="A1" s="130" t="s">
        <v>223</v>
      </c>
    </row>
    <row r="2" spans="1:5" ht="26.25" thickBot="1">
      <c r="E2" s="214" t="s">
        <v>225</v>
      </c>
    </row>
    <row r="3" spans="1:5">
      <c r="A3" s="221">
        <v>2016</v>
      </c>
      <c r="B3" s="222" t="s">
        <v>38</v>
      </c>
      <c r="C3" s="222">
        <v>31</v>
      </c>
      <c r="D3" s="223">
        <v>112.59</v>
      </c>
      <c r="E3" s="218"/>
    </row>
    <row r="4" spans="1:5">
      <c r="A4" s="110"/>
      <c r="B4" s="99" t="s">
        <v>39</v>
      </c>
      <c r="C4" s="99">
        <v>28</v>
      </c>
      <c r="D4" s="216">
        <v>110.04</v>
      </c>
      <c r="E4" s="219"/>
    </row>
    <row r="5" spans="1:5">
      <c r="A5" s="110"/>
      <c r="B5" s="99" t="s">
        <v>40</v>
      </c>
      <c r="C5" s="99">
        <v>31</v>
      </c>
      <c r="D5" s="102">
        <v>110.88</v>
      </c>
      <c r="E5" s="219"/>
    </row>
    <row r="6" spans="1:5">
      <c r="A6" s="110"/>
      <c r="B6" s="99" t="s">
        <v>43</v>
      </c>
      <c r="C6" s="99">
        <v>7</v>
      </c>
      <c r="D6" s="217">
        <v>6.83</v>
      </c>
      <c r="E6" s="219"/>
    </row>
    <row r="7" spans="1:5">
      <c r="A7" s="110"/>
      <c r="B7" s="99" t="s">
        <v>51</v>
      </c>
      <c r="C7" s="99">
        <v>21</v>
      </c>
      <c r="D7" s="102">
        <v>56.35</v>
      </c>
      <c r="E7" s="219"/>
    </row>
    <row r="8" spans="1:5">
      <c r="A8" s="110"/>
      <c r="B8" s="99" t="s">
        <v>52</v>
      </c>
      <c r="C8" s="99">
        <v>30</v>
      </c>
      <c r="D8" s="102">
        <v>75.459999999999994</v>
      </c>
      <c r="E8" s="219"/>
    </row>
    <row r="9" spans="1:5" ht="13.5" thickBot="1">
      <c r="A9" s="120"/>
      <c r="B9" s="121" t="s">
        <v>53</v>
      </c>
      <c r="C9" s="121">
        <v>31</v>
      </c>
      <c r="D9" s="123">
        <v>123.62</v>
      </c>
      <c r="E9" s="220">
        <v>3.3279999999999998</v>
      </c>
    </row>
    <row r="10" spans="1:5">
      <c r="A10" s="221">
        <v>2017</v>
      </c>
      <c r="B10" s="222" t="s">
        <v>38</v>
      </c>
      <c r="C10" s="222">
        <v>31</v>
      </c>
      <c r="D10" s="223">
        <v>182.39</v>
      </c>
      <c r="E10" s="218"/>
    </row>
    <row r="11" spans="1:5">
      <c r="A11" s="110"/>
      <c r="B11" s="99" t="s">
        <v>39</v>
      </c>
      <c r="C11" s="99">
        <v>28</v>
      </c>
      <c r="D11" s="216">
        <v>118.71</v>
      </c>
      <c r="E11" s="219"/>
    </row>
    <row r="12" spans="1:5">
      <c r="A12" s="110"/>
      <c r="B12" s="99" t="s">
        <v>40</v>
      </c>
      <c r="C12" s="99">
        <v>31</v>
      </c>
      <c r="D12" s="102">
        <v>50.69</v>
      </c>
      <c r="E12" s="219"/>
    </row>
    <row r="13" spans="1:5">
      <c r="A13" s="110"/>
      <c r="B13" s="99" t="s">
        <v>43</v>
      </c>
      <c r="C13" s="99"/>
      <c r="D13" s="102"/>
      <c r="E13" s="219"/>
    </row>
    <row r="14" spans="1:5">
      <c r="A14" s="110"/>
      <c r="B14" s="99" t="s">
        <v>51</v>
      </c>
      <c r="C14" s="99">
        <v>26</v>
      </c>
      <c r="D14" s="102">
        <v>17.706</v>
      </c>
      <c r="E14" s="219"/>
    </row>
    <row r="15" spans="1:5">
      <c r="A15" s="110"/>
      <c r="B15" s="99" t="s">
        <v>52</v>
      </c>
      <c r="C15" s="99">
        <v>30</v>
      </c>
      <c r="D15" s="102">
        <v>108.56</v>
      </c>
      <c r="E15" s="219"/>
    </row>
    <row r="16" spans="1:5" ht="13.5" thickBot="1">
      <c r="A16" s="120"/>
      <c r="B16" s="121" t="s">
        <v>53</v>
      </c>
      <c r="C16" s="121">
        <v>31</v>
      </c>
      <c r="D16" s="123">
        <v>94.372</v>
      </c>
      <c r="E16" s="220">
        <v>3.234</v>
      </c>
    </row>
    <row r="17" spans="1:8">
      <c r="A17" s="221">
        <v>2018</v>
      </c>
      <c r="B17" s="222" t="s">
        <v>38</v>
      </c>
      <c r="C17" s="222">
        <v>31</v>
      </c>
      <c r="D17" s="223">
        <v>131.27500000000001</v>
      </c>
      <c r="E17" s="218"/>
    </row>
    <row r="18" spans="1:8">
      <c r="A18" s="110"/>
      <c r="B18" s="99" t="s">
        <v>39</v>
      </c>
      <c r="C18" s="99">
        <v>28</v>
      </c>
      <c r="D18" s="216">
        <v>134.327</v>
      </c>
      <c r="E18" s="219"/>
    </row>
    <row r="19" spans="1:8">
      <c r="A19" s="110"/>
      <c r="B19" s="99" t="s">
        <v>40</v>
      </c>
      <c r="C19" s="99">
        <v>31</v>
      </c>
      <c r="D19" s="102">
        <v>125.95099999999999</v>
      </c>
      <c r="E19" s="219"/>
    </row>
    <row r="20" spans="1:8">
      <c r="A20" s="110"/>
      <c r="B20" s="99" t="s">
        <v>43</v>
      </c>
      <c r="C20" s="99">
        <v>7</v>
      </c>
      <c r="D20" s="102">
        <v>50.320999999999998</v>
      </c>
      <c r="E20" s="219"/>
    </row>
    <row r="21" spans="1:8">
      <c r="A21" s="110"/>
      <c r="B21" s="99" t="s">
        <v>51</v>
      </c>
      <c r="C21" s="99">
        <v>21</v>
      </c>
      <c r="D21" s="102">
        <v>20.774999999999999</v>
      </c>
      <c r="E21" s="219"/>
    </row>
    <row r="22" spans="1:8">
      <c r="A22" s="110"/>
      <c r="B22" s="99" t="s">
        <v>52</v>
      </c>
      <c r="C22" s="99">
        <v>30</v>
      </c>
      <c r="D22" s="102">
        <v>117.38500000000001</v>
      </c>
      <c r="E22" s="219"/>
    </row>
    <row r="23" spans="1:8" ht="13.5" thickBot="1">
      <c r="A23" s="120"/>
      <c r="B23" s="121" t="s">
        <v>53</v>
      </c>
      <c r="C23" s="121">
        <v>31</v>
      </c>
      <c r="D23" s="123">
        <v>147.488</v>
      </c>
      <c r="E23" s="220">
        <v>4.0640000000000001</v>
      </c>
    </row>
    <row r="24" spans="1:8">
      <c r="A24" s="221">
        <v>2019</v>
      </c>
      <c r="B24" s="222" t="s">
        <v>38</v>
      </c>
      <c r="C24" s="222">
        <v>31</v>
      </c>
      <c r="D24" s="223">
        <v>121.968</v>
      </c>
      <c r="E24" s="218"/>
    </row>
    <row r="25" spans="1:8" ht="13.5" thickBot="1">
      <c r="A25" s="120"/>
      <c r="B25" s="121" t="s">
        <v>39</v>
      </c>
      <c r="C25" s="121">
        <v>14</v>
      </c>
      <c r="D25" s="225">
        <v>60.09</v>
      </c>
      <c r="E25" s="220">
        <v>4.0460000000000003</v>
      </c>
    </row>
    <row r="26" spans="1:8" s="94" customFormat="1" ht="15">
      <c r="A26" s="270" t="s">
        <v>88</v>
      </c>
      <c r="B26" s="270"/>
      <c r="C26" s="224">
        <f>SUM(C3:C25)</f>
        <v>580</v>
      </c>
      <c r="D26" s="224">
        <f>SUM(D3:D25)</f>
        <v>2077.7780000000002</v>
      </c>
    </row>
    <row r="27" spans="1:8" s="94" customFormat="1" ht="15.75" thickBot="1">
      <c r="A27" s="271" t="s">
        <v>224</v>
      </c>
      <c r="B27" s="271"/>
      <c r="C27" s="180"/>
      <c r="D27" s="226">
        <f>D26/C26</f>
        <v>3.5823758620689659</v>
      </c>
    </row>
    <row r="28" spans="1:8" ht="68.25" customHeight="1" thickBot="1">
      <c r="A28" s="272" t="s">
        <v>228</v>
      </c>
      <c r="B28" s="273"/>
      <c r="C28" s="273"/>
      <c r="D28" s="273"/>
      <c r="E28" s="274"/>
    </row>
    <row r="29" spans="1:8" ht="30" customHeight="1">
      <c r="A29" s="275" t="s">
        <v>226</v>
      </c>
      <c r="B29" s="275"/>
      <c r="C29" s="275"/>
      <c r="D29" s="275"/>
      <c r="E29" s="275"/>
      <c r="F29" s="214"/>
      <c r="G29" s="214"/>
      <c r="H29" s="214"/>
    </row>
    <row r="30" spans="1:8" ht="31.5" customHeight="1">
      <c r="A30" s="276" t="s">
        <v>227</v>
      </c>
      <c r="B30" s="276"/>
      <c r="C30" s="276"/>
      <c r="D30" s="276"/>
      <c r="E30" s="276"/>
      <c r="F30" s="144"/>
      <c r="G30" s="144"/>
      <c r="H30" s="144"/>
    </row>
  </sheetData>
  <mergeCells count="5">
    <mergeCell ref="A26:B26"/>
    <mergeCell ref="A27:B27"/>
    <mergeCell ref="A28:E28"/>
    <mergeCell ref="A29:E29"/>
    <mergeCell ref="A30:E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workbookViewId="0">
      <selection activeCell="D40" sqref="D40"/>
    </sheetView>
  </sheetViews>
  <sheetFormatPr defaultRowHeight="12.75"/>
  <cols>
    <col min="1" max="1" width="14" customWidth="1"/>
    <col min="2" max="2" width="19.5703125" customWidth="1"/>
    <col min="3" max="3" width="10.5703125" customWidth="1"/>
    <col min="4" max="12" width="18.7109375" style="9" customWidth="1"/>
    <col min="13" max="13" width="26.28515625" style="9" customWidth="1"/>
    <col min="14" max="22" width="9.140625" style="9"/>
  </cols>
  <sheetData>
    <row r="1" spans="1:22" s="1" customFormat="1" ht="15.75">
      <c r="C1" s="2" t="s">
        <v>0</v>
      </c>
      <c r="D1" s="3"/>
      <c r="E1" s="3"/>
      <c r="F1" s="3"/>
      <c r="G1" s="3"/>
      <c r="H1" s="3"/>
      <c r="I1" s="3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" customFormat="1" ht="23.25">
      <c r="C2" s="2" t="s">
        <v>131</v>
      </c>
      <c r="D2" s="3"/>
      <c r="E2" s="3"/>
      <c r="F2" s="3"/>
      <c r="G2" s="3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7" thickBot="1">
      <c r="A3" s="89" t="s">
        <v>25</v>
      </c>
      <c r="C3" s="6"/>
      <c r="D3" s="7"/>
      <c r="E3" s="7"/>
      <c r="F3" s="7"/>
      <c r="G3" s="7"/>
      <c r="H3" s="8"/>
      <c r="I3" s="8"/>
      <c r="K3" s="9" t="s">
        <v>2</v>
      </c>
    </row>
    <row r="4" spans="1:22" ht="16.5" thickBot="1">
      <c r="A4" s="10"/>
      <c r="B4" s="11"/>
      <c r="C4" s="12"/>
      <c r="D4" s="235" t="s">
        <v>3</v>
      </c>
      <c r="E4" s="236"/>
      <c r="F4" s="236"/>
      <c r="G4" s="236"/>
      <c r="H4" s="236"/>
      <c r="I4" s="236"/>
      <c r="J4" s="236"/>
      <c r="K4" s="237"/>
      <c r="L4" s="13"/>
      <c r="M4" s="14" t="s">
        <v>4</v>
      </c>
      <c r="N4" s="15"/>
      <c r="O4" s="15"/>
    </row>
    <row r="5" spans="1:22" ht="23.25" customHeight="1" thickBot="1">
      <c r="A5" s="238" t="s">
        <v>68</v>
      </c>
      <c r="B5" s="239"/>
      <c r="C5" s="16" t="s">
        <v>5</v>
      </c>
      <c r="D5" s="17">
        <v>70201</v>
      </c>
      <c r="E5" s="17">
        <v>70401</v>
      </c>
      <c r="F5" s="17">
        <v>70802</v>
      </c>
      <c r="G5" s="17">
        <v>70804</v>
      </c>
      <c r="H5" s="17">
        <v>70805</v>
      </c>
      <c r="I5" s="17"/>
      <c r="J5" s="17"/>
      <c r="K5" s="17"/>
      <c r="L5" s="18" t="s">
        <v>6</v>
      </c>
      <c r="M5" s="19" t="s">
        <v>7</v>
      </c>
      <c r="N5" s="15"/>
      <c r="O5" s="15"/>
    </row>
    <row r="6" spans="1:22" ht="20.25" customHeight="1">
      <c r="A6" s="240" t="s">
        <v>8</v>
      </c>
      <c r="B6" s="20" t="s">
        <v>9</v>
      </c>
      <c r="C6" s="21" t="s">
        <v>10</v>
      </c>
      <c r="D6" s="22"/>
      <c r="E6" s="22"/>
      <c r="F6" s="22"/>
      <c r="G6" s="22"/>
      <c r="H6" s="22"/>
      <c r="I6" s="22"/>
      <c r="J6" s="22"/>
      <c r="K6" s="22"/>
      <c r="L6" s="23">
        <f t="shared" ref="L6:L18" si="0">SUM(D6:K6)</f>
        <v>0</v>
      </c>
      <c r="M6" s="24"/>
    </row>
    <row r="7" spans="1:22" ht="18.75" customHeight="1">
      <c r="A7" s="241"/>
      <c r="B7" s="25" t="s">
        <v>11</v>
      </c>
      <c r="C7" s="26"/>
      <c r="D7" s="27"/>
      <c r="E7" s="27"/>
      <c r="F7" s="27"/>
      <c r="G7" s="27"/>
      <c r="H7" s="27"/>
      <c r="I7" s="27"/>
      <c r="J7" s="27"/>
      <c r="K7" s="27"/>
      <c r="L7" s="28">
        <f t="shared" si="0"/>
        <v>0</v>
      </c>
      <c r="M7" s="29"/>
    </row>
    <row r="8" spans="1:22" ht="19.5" customHeight="1">
      <c r="A8" s="241"/>
      <c r="B8" s="30" t="s">
        <v>9</v>
      </c>
      <c r="C8" s="26" t="s">
        <v>12</v>
      </c>
      <c r="D8" s="27">
        <v>100</v>
      </c>
      <c r="E8" s="27"/>
      <c r="F8" s="27"/>
      <c r="G8" s="27"/>
      <c r="H8" s="27"/>
      <c r="I8" s="27"/>
      <c r="J8" s="27"/>
      <c r="K8" s="27"/>
      <c r="L8" s="28">
        <f t="shared" si="0"/>
        <v>100</v>
      </c>
      <c r="M8" s="29"/>
    </row>
    <row r="9" spans="1:22" ht="21" customHeight="1">
      <c r="A9" s="242"/>
      <c r="B9" s="31" t="s">
        <v>11</v>
      </c>
      <c r="C9" s="26"/>
      <c r="D9" s="27">
        <f>D8*1198.86</f>
        <v>119885.99999999999</v>
      </c>
      <c r="E9" s="27"/>
      <c r="F9" s="27"/>
      <c r="G9" s="27"/>
      <c r="H9" s="27"/>
      <c r="I9" s="27"/>
      <c r="J9" s="27"/>
      <c r="K9" s="27"/>
      <c r="L9" s="28">
        <f t="shared" si="0"/>
        <v>119885.99999999999</v>
      </c>
      <c r="M9" s="29" t="s">
        <v>26</v>
      </c>
    </row>
    <row r="10" spans="1:22" ht="21.75" customHeight="1">
      <c r="A10" s="243" t="s">
        <v>13</v>
      </c>
      <c r="B10" s="30" t="s">
        <v>9</v>
      </c>
      <c r="C10" s="26" t="s">
        <v>10</v>
      </c>
      <c r="D10" s="27"/>
      <c r="E10" s="27"/>
      <c r="F10" s="27"/>
      <c r="G10" s="27"/>
      <c r="H10" s="27"/>
      <c r="I10" s="27"/>
      <c r="J10" s="27"/>
      <c r="K10" s="27"/>
      <c r="L10" s="28">
        <f t="shared" si="0"/>
        <v>0</v>
      </c>
      <c r="M10" s="29" t="s">
        <v>117</v>
      </c>
    </row>
    <row r="11" spans="1:22" ht="21.75" customHeight="1">
      <c r="A11" s="243"/>
      <c r="B11" s="31" t="s">
        <v>11</v>
      </c>
      <c r="C11" s="26"/>
      <c r="D11" s="27"/>
      <c r="E11" s="27"/>
      <c r="F11" s="27"/>
      <c r="G11" s="27"/>
      <c r="H11" s="27"/>
      <c r="I11" s="27"/>
      <c r="J11" s="27"/>
      <c r="K11" s="27"/>
      <c r="L11" s="28">
        <f t="shared" si="0"/>
        <v>0</v>
      </c>
      <c r="M11" s="29"/>
    </row>
    <row r="12" spans="1:22" ht="21" customHeight="1">
      <c r="A12" s="243"/>
      <c r="B12" s="30" t="s">
        <v>9</v>
      </c>
      <c r="C12" s="26" t="s">
        <v>12</v>
      </c>
      <c r="D12" s="27"/>
      <c r="E12" s="27"/>
      <c r="F12" s="27"/>
      <c r="G12" s="27"/>
      <c r="H12" s="27"/>
      <c r="I12" s="27"/>
      <c r="J12" s="27"/>
      <c r="K12" s="27"/>
      <c r="L12" s="28">
        <f t="shared" si="0"/>
        <v>0</v>
      </c>
      <c r="M12" s="29"/>
    </row>
    <row r="13" spans="1:22" ht="19.5" customHeight="1">
      <c r="A13" s="231"/>
      <c r="B13" s="33" t="s">
        <v>11</v>
      </c>
      <c r="C13" s="34"/>
      <c r="D13" s="35"/>
      <c r="E13" s="35"/>
      <c r="F13" s="35"/>
      <c r="G13" s="35"/>
      <c r="H13" s="35"/>
      <c r="I13" s="35"/>
      <c r="J13" s="35"/>
      <c r="K13" s="35"/>
      <c r="L13" s="28">
        <f t="shared" si="0"/>
        <v>0</v>
      </c>
      <c r="M13" s="29"/>
    </row>
    <row r="14" spans="1:22" s="41" customFormat="1" ht="24" customHeight="1">
      <c r="A14" s="233" t="s">
        <v>14</v>
      </c>
      <c r="B14" s="36" t="s">
        <v>9</v>
      </c>
      <c r="C14" s="37" t="s">
        <v>10</v>
      </c>
      <c r="D14" s="38">
        <f t="shared" ref="D14:K17" si="1">D6-D10</f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9">
        <f t="shared" si="0"/>
        <v>0</v>
      </c>
      <c r="M14" s="40"/>
    </row>
    <row r="15" spans="1:22" s="41" customFormat="1" ht="24" customHeight="1">
      <c r="A15" s="247"/>
      <c r="B15" s="43" t="s">
        <v>15</v>
      </c>
      <c r="C15" s="37"/>
      <c r="D15" s="44">
        <f t="shared" si="1"/>
        <v>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39">
        <f t="shared" si="0"/>
        <v>0</v>
      </c>
      <c r="M15" s="40"/>
    </row>
    <row r="16" spans="1:22" s="41" customFormat="1" ht="24" customHeight="1">
      <c r="A16" s="247"/>
      <c r="B16" s="45" t="s">
        <v>9</v>
      </c>
      <c r="C16" s="37" t="s">
        <v>12</v>
      </c>
      <c r="D16" s="44"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39">
        <f t="shared" si="0"/>
        <v>0</v>
      </c>
      <c r="M16" s="40"/>
    </row>
    <row r="17" spans="1:13" s="41" customFormat="1" ht="22.5" customHeight="1">
      <c r="A17" s="246"/>
      <c r="B17" s="43" t="s">
        <v>15</v>
      </c>
      <c r="C17" s="43"/>
      <c r="D17" s="38">
        <v>0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 t="shared" si="1"/>
        <v>0</v>
      </c>
      <c r="I17" s="38">
        <f t="shared" si="1"/>
        <v>0</v>
      </c>
      <c r="J17" s="38">
        <f t="shared" si="1"/>
        <v>0</v>
      </c>
      <c r="K17" s="38">
        <f t="shared" si="1"/>
        <v>0</v>
      </c>
      <c r="L17" s="39">
        <f t="shared" si="0"/>
        <v>0</v>
      </c>
      <c r="M17" s="40"/>
    </row>
    <row r="18" spans="1:13" s="41" customFormat="1" ht="22.5" customHeight="1" thickBot="1">
      <c r="A18" s="46" t="s">
        <v>76</v>
      </c>
      <c r="B18" s="47" t="s">
        <v>15</v>
      </c>
      <c r="C18" s="48"/>
      <c r="D18" s="49">
        <v>296434.71000000002</v>
      </c>
      <c r="E18" s="49">
        <f t="shared" ref="E18:K18" si="2">E15+E17</f>
        <v>0</v>
      </c>
      <c r="F18" s="49">
        <f t="shared" si="2"/>
        <v>0</v>
      </c>
      <c r="G18" s="49">
        <f t="shared" si="2"/>
        <v>0</v>
      </c>
      <c r="H18" s="49">
        <f t="shared" si="2"/>
        <v>0</v>
      </c>
      <c r="I18" s="49">
        <f t="shared" si="2"/>
        <v>0</v>
      </c>
      <c r="J18" s="49">
        <f t="shared" si="2"/>
        <v>0</v>
      </c>
      <c r="K18" s="49">
        <f t="shared" si="2"/>
        <v>0</v>
      </c>
      <c r="L18" s="50">
        <f t="shared" si="0"/>
        <v>296434.71000000002</v>
      </c>
      <c r="M18" s="51"/>
    </row>
    <row r="19" spans="1:13" ht="15.75" customHeight="1">
      <c r="A19" s="52" t="s">
        <v>69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6"/>
      <c r="M19" s="24"/>
    </row>
    <row r="20" spans="1:13" ht="21.75" customHeight="1">
      <c r="A20" s="229" t="s">
        <v>16</v>
      </c>
      <c r="B20" s="57" t="s">
        <v>9</v>
      </c>
      <c r="C20" s="58" t="s">
        <v>17</v>
      </c>
      <c r="D20" s="27">
        <v>83</v>
      </c>
      <c r="E20" s="27"/>
      <c r="F20" s="27"/>
      <c r="G20" s="27"/>
      <c r="H20" s="27"/>
      <c r="I20" s="27"/>
      <c r="J20" s="27"/>
      <c r="K20" s="27"/>
      <c r="L20" s="59">
        <f>SUM(D20:K20)</f>
        <v>83</v>
      </c>
      <c r="M20" s="29" t="s">
        <v>80</v>
      </c>
    </row>
    <row r="21" spans="1:13" ht="21.75" customHeight="1">
      <c r="A21" s="230"/>
      <c r="B21" s="60" t="s">
        <v>11</v>
      </c>
      <c r="C21" s="58"/>
      <c r="D21" s="27">
        <f>D20*17.11</f>
        <v>1420.1299999999999</v>
      </c>
      <c r="E21" s="27"/>
      <c r="F21" s="27"/>
      <c r="G21" s="27"/>
      <c r="H21" s="27"/>
      <c r="I21" s="27"/>
      <c r="J21" s="27"/>
      <c r="K21" s="27"/>
      <c r="L21" s="59">
        <f>SUM(D21:K21)</f>
        <v>1420.1299999999999</v>
      </c>
      <c r="M21" s="29"/>
    </row>
    <row r="22" spans="1:13" ht="22.5" customHeight="1">
      <c r="A22" s="231" t="s">
        <v>13</v>
      </c>
      <c r="B22" s="61" t="s">
        <v>9</v>
      </c>
      <c r="C22" s="58" t="s">
        <v>17</v>
      </c>
      <c r="D22" s="27">
        <v>0</v>
      </c>
      <c r="E22" s="27"/>
      <c r="F22" s="27"/>
      <c r="G22" s="27"/>
      <c r="H22" s="27"/>
      <c r="I22" s="27"/>
      <c r="J22" s="27"/>
      <c r="K22" s="27"/>
      <c r="L22" s="59">
        <f>SUM(D22:K22)</f>
        <v>0</v>
      </c>
      <c r="M22" s="29"/>
    </row>
    <row r="23" spans="1:13" ht="20.25" customHeight="1">
      <c r="A23" s="232"/>
      <c r="B23" s="60" t="s">
        <v>11</v>
      </c>
      <c r="C23" s="62"/>
      <c r="D23" s="35">
        <v>0</v>
      </c>
      <c r="E23" s="35"/>
      <c r="F23" s="35"/>
      <c r="G23" s="35"/>
      <c r="H23" s="35"/>
      <c r="I23" s="35"/>
      <c r="J23" s="35"/>
      <c r="K23" s="35"/>
      <c r="L23" s="59">
        <f>SUM(D23:K23)</f>
        <v>0</v>
      </c>
      <c r="M23" s="29"/>
    </row>
    <row r="24" spans="1:13" s="41" customFormat="1" ht="20.25" customHeight="1">
      <c r="A24" s="233" t="s">
        <v>14</v>
      </c>
      <c r="B24" s="36" t="s">
        <v>9</v>
      </c>
      <c r="C24" s="63" t="s">
        <v>18</v>
      </c>
      <c r="D24" s="38">
        <f t="shared" ref="D24:K25" si="3">D20-D22</f>
        <v>83</v>
      </c>
      <c r="E24" s="38">
        <f t="shared" si="3"/>
        <v>0</v>
      </c>
      <c r="F24" s="38">
        <f t="shared" si="3"/>
        <v>0</v>
      </c>
      <c r="G24" s="38">
        <f t="shared" si="3"/>
        <v>0</v>
      </c>
      <c r="H24" s="38">
        <f t="shared" si="3"/>
        <v>0</v>
      </c>
      <c r="I24" s="38">
        <f t="shared" si="3"/>
        <v>0</v>
      </c>
      <c r="J24" s="38">
        <f t="shared" si="3"/>
        <v>0</v>
      </c>
      <c r="K24" s="38">
        <f t="shared" si="3"/>
        <v>0</v>
      </c>
      <c r="L24" s="64">
        <f>SUM(D24:K24)</f>
        <v>83</v>
      </c>
      <c r="M24" s="40"/>
    </row>
    <row r="25" spans="1:13" s="41" customFormat="1" ht="20.25" customHeight="1" thickBot="1">
      <c r="A25" s="234"/>
      <c r="B25" s="65" t="s">
        <v>15</v>
      </c>
      <c r="C25" s="66"/>
      <c r="D25" s="67">
        <f t="shared" si="3"/>
        <v>1420.1299999999999</v>
      </c>
      <c r="E25" s="67">
        <f t="shared" si="3"/>
        <v>0</v>
      </c>
      <c r="F25" s="67">
        <f t="shared" si="3"/>
        <v>0</v>
      </c>
      <c r="G25" s="67">
        <f t="shared" si="3"/>
        <v>0</v>
      </c>
      <c r="H25" s="67">
        <f t="shared" si="3"/>
        <v>0</v>
      </c>
      <c r="I25" s="67">
        <f t="shared" si="3"/>
        <v>0</v>
      </c>
      <c r="J25" s="67">
        <f t="shared" si="3"/>
        <v>0</v>
      </c>
      <c r="K25" s="67">
        <f t="shared" si="3"/>
        <v>0</v>
      </c>
      <c r="L25" s="68">
        <f>L21-L23</f>
        <v>1420.1299999999999</v>
      </c>
      <c r="M25" s="51"/>
    </row>
    <row r="26" spans="1:13" s="41" customFormat="1" ht="15.75" customHeight="1">
      <c r="A26" s="69" t="s">
        <v>70</v>
      </c>
      <c r="B26" s="70"/>
      <c r="C26" s="71"/>
      <c r="D26" s="72"/>
      <c r="E26" s="72"/>
      <c r="F26" s="72"/>
      <c r="G26" s="72"/>
      <c r="H26" s="72"/>
      <c r="I26" s="72"/>
      <c r="J26" s="72"/>
      <c r="K26" s="72"/>
      <c r="L26" s="73"/>
      <c r="M26" s="40"/>
    </row>
    <row r="27" spans="1:13" ht="21.75" customHeight="1">
      <c r="A27" s="229" t="s">
        <v>16</v>
      </c>
      <c r="B27" s="57" t="s">
        <v>9</v>
      </c>
      <c r="C27" s="58" t="s">
        <v>17</v>
      </c>
      <c r="D27" s="27">
        <v>83</v>
      </c>
      <c r="E27" s="27"/>
      <c r="F27" s="27"/>
      <c r="G27" s="27"/>
      <c r="H27" s="27"/>
      <c r="I27" s="27"/>
      <c r="J27" s="27"/>
      <c r="K27" s="27"/>
      <c r="L27" s="59">
        <f t="shared" ref="L27:L33" si="4">SUM(D27:K27)</f>
        <v>83</v>
      </c>
      <c r="M27" s="29" t="s">
        <v>80</v>
      </c>
    </row>
    <row r="28" spans="1:13" ht="21.75" customHeight="1">
      <c r="A28" s="230"/>
      <c r="B28" s="60" t="s">
        <v>11</v>
      </c>
      <c r="C28" s="58"/>
      <c r="D28" s="27">
        <f>D27*14.63</f>
        <v>1214.29</v>
      </c>
      <c r="E28" s="27"/>
      <c r="F28" s="27"/>
      <c r="G28" s="27"/>
      <c r="H28" s="27"/>
      <c r="I28" s="27"/>
      <c r="J28" s="27"/>
      <c r="K28" s="27"/>
      <c r="L28" s="59">
        <f t="shared" si="4"/>
        <v>1214.29</v>
      </c>
      <c r="M28" s="129" t="s">
        <v>75</v>
      </c>
    </row>
    <row r="29" spans="1:13" ht="21.75" customHeight="1">
      <c r="A29" s="231" t="s">
        <v>13</v>
      </c>
      <c r="B29" s="61" t="s">
        <v>9</v>
      </c>
      <c r="C29" s="58" t="s">
        <v>17</v>
      </c>
      <c r="D29" s="27"/>
      <c r="E29" s="27"/>
      <c r="F29" s="27"/>
      <c r="G29" s="27"/>
      <c r="H29" s="27"/>
      <c r="I29" s="27"/>
      <c r="J29" s="27"/>
      <c r="K29" s="27"/>
      <c r="L29" s="59">
        <f t="shared" si="4"/>
        <v>0</v>
      </c>
      <c r="M29" s="29"/>
    </row>
    <row r="30" spans="1:13" ht="21" customHeight="1">
      <c r="A30" s="232"/>
      <c r="B30" s="60" t="s">
        <v>11</v>
      </c>
      <c r="C30" s="62"/>
      <c r="D30" s="35"/>
      <c r="E30" s="35"/>
      <c r="F30" s="35"/>
      <c r="G30" s="35"/>
      <c r="H30" s="35"/>
      <c r="I30" s="35"/>
      <c r="J30" s="35"/>
      <c r="K30" s="35"/>
      <c r="L30" s="59">
        <f t="shared" si="4"/>
        <v>0</v>
      </c>
      <c r="M30" s="29"/>
    </row>
    <row r="31" spans="1:13" s="41" customFormat="1" ht="20.25" customHeight="1">
      <c r="A31" s="233" t="s">
        <v>14</v>
      </c>
      <c r="B31" s="36" t="s">
        <v>9</v>
      </c>
      <c r="C31" s="63" t="s">
        <v>18</v>
      </c>
      <c r="D31" s="38">
        <f t="shared" ref="D31:K32" si="5">D27-D29</f>
        <v>83</v>
      </c>
      <c r="E31" s="38">
        <f t="shared" si="5"/>
        <v>0</v>
      </c>
      <c r="F31" s="38">
        <f t="shared" si="5"/>
        <v>0</v>
      </c>
      <c r="G31" s="38">
        <f t="shared" si="5"/>
        <v>0</v>
      </c>
      <c r="H31" s="38">
        <f t="shared" si="5"/>
        <v>0</v>
      </c>
      <c r="I31" s="38">
        <f t="shared" si="5"/>
        <v>0</v>
      </c>
      <c r="J31" s="38">
        <f t="shared" si="5"/>
        <v>0</v>
      </c>
      <c r="K31" s="38">
        <f t="shared" si="5"/>
        <v>0</v>
      </c>
      <c r="L31" s="74">
        <f t="shared" si="4"/>
        <v>83</v>
      </c>
      <c r="M31" s="40"/>
    </row>
    <row r="32" spans="1:13" s="41" customFormat="1" ht="20.25" customHeight="1">
      <c r="A32" s="246"/>
      <c r="B32" s="43" t="s">
        <v>15</v>
      </c>
      <c r="C32" s="63"/>
      <c r="D32" s="38">
        <f>D28</f>
        <v>1214.29</v>
      </c>
      <c r="E32" s="38">
        <f t="shared" si="5"/>
        <v>0</v>
      </c>
      <c r="F32" s="38">
        <f t="shared" si="5"/>
        <v>0</v>
      </c>
      <c r="G32" s="38">
        <f t="shared" si="5"/>
        <v>0</v>
      </c>
      <c r="H32" s="38">
        <f t="shared" si="5"/>
        <v>0</v>
      </c>
      <c r="I32" s="38">
        <f t="shared" si="5"/>
        <v>0</v>
      </c>
      <c r="J32" s="38">
        <f t="shared" si="5"/>
        <v>0</v>
      </c>
      <c r="K32" s="38">
        <f t="shared" si="5"/>
        <v>0</v>
      </c>
      <c r="L32" s="74">
        <f t="shared" si="4"/>
        <v>1214.29</v>
      </c>
      <c r="M32" s="40"/>
    </row>
    <row r="33" spans="1:13" s="41" customFormat="1" ht="25.5" customHeight="1" thickBot="1">
      <c r="A33" s="46" t="s">
        <v>77</v>
      </c>
      <c r="B33" s="47" t="s">
        <v>15</v>
      </c>
      <c r="C33" s="75"/>
      <c r="D33" s="76">
        <v>2634.25</v>
      </c>
      <c r="E33" s="76">
        <f t="shared" ref="E33:K33" si="6">E25+E32</f>
        <v>0</v>
      </c>
      <c r="F33" s="76">
        <f t="shared" si="6"/>
        <v>0</v>
      </c>
      <c r="G33" s="76">
        <f t="shared" si="6"/>
        <v>0</v>
      </c>
      <c r="H33" s="76">
        <f t="shared" si="6"/>
        <v>0</v>
      </c>
      <c r="I33" s="76">
        <f t="shared" si="6"/>
        <v>0</v>
      </c>
      <c r="J33" s="76">
        <f t="shared" si="6"/>
        <v>0</v>
      </c>
      <c r="K33" s="76">
        <f t="shared" si="6"/>
        <v>0</v>
      </c>
      <c r="L33" s="77">
        <f t="shared" si="4"/>
        <v>2634.25</v>
      </c>
      <c r="M33" s="51"/>
    </row>
    <row r="34" spans="1:13" ht="16.5" customHeight="1">
      <c r="A34" s="244" t="s">
        <v>78</v>
      </c>
      <c r="B34" s="245"/>
      <c r="C34" s="54"/>
      <c r="D34" s="55"/>
      <c r="E34" s="55"/>
      <c r="F34" s="55"/>
      <c r="G34" s="55"/>
      <c r="H34" s="55"/>
      <c r="I34" s="55"/>
      <c r="J34" s="55"/>
      <c r="K34" s="55"/>
      <c r="L34" s="56"/>
      <c r="M34" s="24"/>
    </row>
    <row r="35" spans="1:13" ht="48" customHeight="1">
      <c r="A35" s="78" t="s">
        <v>16</v>
      </c>
      <c r="B35" s="61" t="s">
        <v>9</v>
      </c>
      <c r="C35" s="26" t="s">
        <v>19</v>
      </c>
      <c r="D35" s="27">
        <v>8837</v>
      </c>
      <c r="E35" s="27"/>
      <c r="F35" s="27"/>
      <c r="G35" s="27"/>
      <c r="H35" s="27"/>
      <c r="I35" s="27"/>
      <c r="J35" s="27"/>
      <c r="K35" s="27"/>
      <c r="L35" s="59">
        <f>SUM(D35:K35)</f>
        <v>8837</v>
      </c>
      <c r="M35" s="29" t="s">
        <v>27</v>
      </c>
    </row>
    <row r="36" spans="1:13" ht="23.25" customHeight="1">
      <c r="A36" s="32" t="s">
        <v>13</v>
      </c>
      <c r="B36" s="61" t="s">
        <v>9</v>
      </c>
      <c r="C36" s="26" t="s">
        <v>19</v>
      </c>
      <c r="D36" s="27">
        <v>0</v>
      </c>
      <c r="E36" s="27">
        <v>0</v>
      </c>
      <c r="F36" s="27"/>
      <c r="G36" s="27"/>
      <c r="H36" s="27"/>
      <c r="I36" s="27"/>
      <c r="J36" s="27"/>
      <c r="K36" s="27"/>
      <c r="L36" s="59">
        <f>SUM(D36:K36)</f>
        <v>0</v>
      </c>
      <c r="M36" s="29"/>
    </row>
    <row r="37" spans="1:13" s="41" customFormat="1" ht="36.75" customHeight="1" thickBot="1">
      <c r="A37" s="79" t="s">
        <v>14</v>
      </c>
      <c r="B37" s="80" t="s">
        <v>9</v>
      </c>
      <c r="C37" s="81" t="s">
        <v>19</v>
      </c>
      <c r="D37" s="82">
        <f t="shared" ref="D37:K37" si="7">D35-D36</f>
        <v>8837</v>
      </c>
      <c r="E37" s="82">
        <f t="shared" si="7"/>
        <v>0</v>
      </c>
      <c r="F37" s="82">
        <f t="shared" si="7"/>
        <v>0</v>
      </c>
      <c r="G37" s="82">
        <f t="shared" si="7"/>
        <v>0</v>
      </c>
      <c r="H37" s="82">
        <f t="shared" si="7"/>
        <v>0</v>
      </c>
      <c r="I37" s="82">
        <f t="shared" si="7"/>
        <v>0</v>
      </c>
      <c r="J37" s="82">
        <f t="shared" si="7"/>
        <v>0</v>
      </c>
      <c r="K37" s="82">
        <f t="shared" si="7"/>
        <v>0</v>
      </c>
      <c r="L37" s="83">
        <f>SUM(D37:K37)</f>
        <v>8837</v>
      </c>
      <c r="M37" s="51"/>
    </row>
    <row r="38" spans="1:13" s="41" customFormat="1" ht="36.75" customHeight="1">
      <c r="A38" s="42"/>
      <c r="B38" s="92" t="s">
        <v>11</v>
      </c>
      <c r="C38" s="90"/>
      <c r="D38" s="91">
        <f>D35*1.24</f>
        <v>10957.88</v>
      </c>
      <c r="E38" s="91"/>
      <c r="F38" s="91"/>
      <c r="G38" s="91"/>
      <c r="H38" s="91"/>
      <c r="I38" s="91"/>
      <c r="J38" s="91"/>
      <c r="K38" s="91"/>
      <c r="L38" s="93"/>
      <c r="M38" s="40"/>
    </row>
    <row r="39" spans="1:13" s="41" customFormat="1" ht="25.5" customHeight="1" thickBot="1">
      <c r="A39" s="46" t="s">
        <v>79</v>
      </c>
      <c r="B39" s="47" t="s">
        <v>15</v>
      </c>
      <c r="C39" s="75"/>
      <c r="D39" s="76">
        <v>11500</v>
      </c>
      <c r="E39" s="76">
        <f t="shared" ref="E39:K39" si="8">E31+E38</f>
        <v>0</v>
      </c>
      <c r="F39" s="76">
        <f t="shared" si="8"/>
        <v>0</v>
      </c>
      <c r="G39" s="76">
        <f t="shared" si="8"/>
        <v>0</v>
      </c>
      <c r="H39" s="76">
        <f t="shared" si="8"/>
        <v>0</v>
      </c>
      <c r="I39" s="76">
        <f t="shared" si="8"/>
        <v>0</v>
      </c>
      <c r="J39" s="76">
        <f t="shared" si="8"/>
        <v>0</v>
      </c>
      <c r="K39" s="76">
        <f t="shared" si="8"/>
        <v>0</v>
      </c>
      <c r="L39" s="77">
        <f>SUM(D39:K39)</f>
        <v>11500</v>
      </c>
      <c r="M39" s="51"/>
    </row>
    <row r="40" spans="1:13" ht="14.25" customHeight="1">
      <c r="A40" s="244" t="s">
        <v>71</v>
      </c>
      <c r="B40" s="245"/>
      <c r="C40" s="54"/>
      <c r="D40" s="55"/>
      <c r="E40" s="55"/>
      <c r="F40" s="55"/>
      <c r="G40" s="55"/>
      <c r="H40" s="55"/>
      <c r="I40" s="55"/>
      <c r="J40" s="55"/>
      <c r="K40" s="55"/>
      <c r="L40" s="56"/>
      <c r="M40" s="24"/>
    </row>
    <row r="41" spans="1:13" ht="21" customHeight="1">
      <c r="A41" s="84" t="s">
        <v>20</v>
      </c>
      <c r="B41" s="85" t="s">
        <v>9</v>
      </c>
      <c r="C41" s="86" t="s">
        <v>21</v>
      </c>
      <c r="D41" s="87"/>
      <c r="E41" s="87"/>
      <c r="F41" s="87"/>
      <c r="G41" s="87"/>
      <c r="H41" s="87"/>
      <c r="I41" s="87"/>
      <c r="J41" s="87"/>
      <c r="K41" s="87"/>
      <c r="L41" s="88">
        <f>SUM(D41:K41)</f>
        <v>0</v>
      </c>
      <c r="M41" s="29"/>
    </row>
    <row r="42" spans="1:13" ht="47.25" customHeight="1">
      <c r="A42" s="78" t="s">
        <v>16</v>
      </c>
      <c r="B42" s="61" t="s">
        <v>9</v>
      </c>
      <c r="C42" s="58" t="s">
        <v>17</v>
      </c>
      <c r="D42" s="27">
        <v>0</v>
      </c>
      <c r="E42" s="27"/>
      <c r="F42" s="27"/>
      <c r="G42" s="27"/>
      <c r="H42" s="27"/>
      <c r="I42" s="27"/>
      <c r="J42" s="27"/>
      <c r="K42" s="27"/>
      <c r="L42" s="59">
        <f>SUM(D42:K42)</f>
        <v>0</v>
      </c>
      <c r="M42" s="29"/>
    </row>
    <row r="43" spans="1:13" ht="24" customHeight="1">
      <c r="A43" s="32" t="s">
        <v>13</v>
      </c>
      <c r="B43" s="61" t="s">
        <v>9</v>
      </c>
      <c r="C43" s="58" t="s">
        <v>17</v>
      </c>
      <c r="D43" s="27">
        <v>0</v>
      </c>
      <c r="E43" s="27"/>
      <c r="F43" s="27"/>
      <c r="G43" s="27"/>
      <c r="H43" s="27"/>
      <c r="I43" s="27"/>
      <c r="J43" s="27"/>
      <c r="K43" s="27"/>
      <c r="L43" s="59">
        <f>SUM(D43:K43)</f>
        <v>0</v>
      </c>
      <c r="M43" s="29"/>
    </row>
    <row r="44" spans="1:13" s="41" customFormat="1" ht="34.5" customHeight="1" thickBot="1">
      <c r="A44" s="79" t="s">
        <v>14</v>
      </c>
      <c r="B44" s="80" t="s">
        <v>9</v>
      </c>
      <c r="C44" s="81" t="s">
        <v>18</v>
      </c>
      <c r="D44" s="82">
        <f t="shared" ref="D44:K44" si="9">D42-D43</f>
        <v>0</v>
      </c>
      <c r="E44" s="82">
        <f t="shared" si="9"/>
        <v>0</v>
      </c>
      <c r="F44" s="82">
        <f t="shared" si="9"/>
        <v>0</v>
      </c>
      <c r="G44" s="82">
        <f t="shared" si="9"/>
        <v>0</v>
      </c>
      <c r="H44" s="82">
        <f t="shared" si="9"/>
        <v>0</v>
      </c>
      <c r="I44" s="82">
        <f t="shared" si="9"/>
        <v>0</v>
      </c>
      <c r="J44" s="82">
        <f t="shared" si="9"/>
        <v>0</v>
      </c>
      <c r="K44" s="82">
        <f t="shared" si="9"/>
        <v>0</v>
      </c>
      <c r="L44" s="83">
        <f>SUM(D44:K44)</f>
        <v>0</v>
      </c>
      <c r="M44" s="51"/>
    </row>
    <row r="45" spans="1:13">
      <c r="A45" t="s">
        <v>22</v>
      </c>
    </row>
    <row r="46" spans="1:13">
      <c r="D46" s="9" t="s">
        <v>23</v>
      </c>
      <c r="G46" s="9" t="s">
        <v>24</v>
      </c>
    </row>
  </sheetData>
  <mergeCells count="13">
    <mergeCell ref="A40:B40"/>
    <mergeCell ref="A27:A28"/>
    <mergeCell ref="A29:A30"/>
    <mergeCell ref="A31:A32"/>
    <mergeCell ref="A34:B34"/>
    <mergeCell ref="A14:A17"/>
    <mergeCell ref="A20:A21"/>
    <mergeCell ref="A22:A23"/>
    <mergeCell ref="A24:A25"/>
    <mergeCell ref="D4:K4"/>
    <mergeCell ref="A5:B5"/>
    <mergeCell ref="A6:A9"/>
    <mergeCell ref="A10:A1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opLeftCell="A4" workbookViewId="0">
      <selection activeCell="N29" sqref="N29"/>
    </sheetView>
  </sheetViews>
  <sheetFormatPr defaultRowHeight="12.75"/>
  <cols>
    <col min="1" max="1" width="17.7109375" customWidth="1"/>
    <col min="4" max="4" width="13.85546875" customWidth="1"/>
    <col min="5" max="5" width="11.140625" customWidth="1"/>
    <col min="6" max="6" width="7.85546875" customWidth="1"/>
    <col min="7" max="7" width="7.28515625" customWidth="1"/>
    <col min="11" max="11" width="7.140625" customWidth="1"/>
    <col min="13" max="13" width="10.42578125" customWidth="1"/>
  </cols>
  <sheetData>
    <row r="1" spans="1:13" ht="15.75">
      <c r="A1" s="6" t="s">
        <v>25</v>
      </c>
    </row>
    <row r="3" spans="1:13" ht="23.25">
      <c r="B3" s="118" t="s">
        <v>60</v>
      </c>
    </row>
    <row r="4" spans="1:13" ht="13.5" thickBot="1"/>
    <row r="5" spans="1:13" ht="20.25">
      <c r="B5" s="103" t="s">
        <v>28</v>
      </c>
      <c r="C5" s="104"/>
      <c r="D5" s="104"/>
      <c r="E5" s="112"/>
      <c r="F5" s="103" t="s">
        <v>33</v>
      </c>
      <c r="G5" s="104"/>
      <c r="H5" s="104"/>
      <c r="I5" s="105"/>
      <c r="J5" s="103" t="s">
        <v>36</v>
      </c>
      <c r="K5" s="104"/>
      <c r="L5" s="113"/>
      <c r="M5" s="114"/>
    </row>
    <row r="6" spans="1:13" ht="26.25">
      <c r="A6" s="94"/>
      <c r="B6" s="106" t="s">
        <v>61</v>
      </c>
      <c r="C6" s="97"/>
      <c r="D6" s="97"/>
      <c r="E6" s="100"/>
      <c r="F6" s="106" t="s">
        <v>62</v>
      </c>
      <c r="G6" s="97"/>
      <c r="H6" s="97"/>
      <c r="I6" s="107"/>
      <c r="J6" s="106" t="s">
        <v>62</v>
      </c>
      <c r="K6" s="97"/>
      <c r="L6" s="97"/>
      <c r="M6" s="107"/>
    </row>
    <row r="7" spans="1:13">
      <c r="B7" s="108" t="s">
        <v>30</v>
      </c>
      <c r="C7" s="98" t="s">
        <v>31</v>
      </c>
      <c r="D7" s="98" t="s">
        <v>11</v>
      </c>
      <c r="E7" s="101" t="s">
        <v>32</v>
      </c>
      <c r="F7" s="108" t="s">
        <v>34</v>
      </c>
      <c r="G7" s="98" t="s">
        <v>35</v>
      </c>
      <c r="H7" s="98" t="s">
        <v>11</v>
      </c>
      <c r="I7" s="109" t="s">
        <v>32</v>
      </c>
      <c r="J7" s="108" t="s">
        <v>19</v>
      </c>
      <c r="K7" s="98" t="s">
        <v>37</v>
      </c>
      <c r="L7" s="98" t="s">
        <v>11</v>
      </c>
      <c r="M7" s="109" t="s">
        <v>32</v>
      </c>
    </row>
    <row r="8" spans="1:13">
      <c r="A8" s="102" t="s">
        <v>58</v>
      </c>
      <c r="B8" s="108"/>
      <c r="C8" s="98"/>
      <c r="D8" s="99">
        <v>21715.01</v>
      </c>
      <c r="E8" s="101"/>
      <c r="F8" s="108"/>
      <c r="G8" s="98"/>
      <c r="H8" s="98"/>
      <c r="I8" s="109"/>
      <c r="J8" s="108"/>
      <c r="K8" s="98"/>
      <c r="L8" s="98"/>
      <c r="M8" s="109"/>
    </row>
    <row r="9" spans="1:13">
      <c r="A9" s="101" t="s">
        <v>38</v>
      </c>
      <c r="B9" s="108">
        <v>128.97</v>
      </c>
      <c r="C9" s="98">
        <v>990.83</v>
      </c>
      <c r="D9" s="115">
        <f>B9*C9</f>
        <v>127787.34510000001</v>
      </c>
      <c r="E9" s="101">
        <v>0</v>
      </c>
      <c r="F9" s="108">
        <v>74</v>
      </c>
      <c r="G9" s="98">
        <v>27.11</v>
      </c>
      <c r="H9" s="98">
        <f>F9*G9</f>
        <v>2006.1399999999999</v>
      </c>
      <c r="I9" s="109">
        <v>2006.14</v>
      </c>
      <c r="J9" s="108">
        <v>9484</v>
      </c>
      <c r="K9" s="115">
        <f>L9/J9</f>
        <v>0.83648144242935463</v>
      </c>
      <c r="L9" s="98">
        <v>7933.19</v>
      </c>
      <c r="M9" s="109">
        <v>7800</v>
      </c>
    </row>
    <row r="10" spans="1:13">
      <c r="A10" s="101" t="s">
        <v>39</v>
      </c>
      <c r="B10" s="108">
        <v>160.06</v>
      </c>
      <c r="C10" s="98">
        <v>990.83</v>
      </c>
      <c r="D10" s="115">
        <f>B10*C10</f>
        <v>158592.24980000002</v>
      </c>
      <c r="E10" s="101">
        <v>149522.20000000001</v>
      </c>
      <c r="F10" s="108">
        <v>133</v>
      </c>
      <c r="G10" s="98">
        <v>27.11</v>
      </c>
      <c r="H10" s="98">
        <f t="shared" ref="H10:H15" si="0">F10*G10</f>
        <v>3605.63</v>
      </c>
      <c r="I10" s="109">
        <v>2193.86</v>
      </c>
      <c r="J10" s="108">
        <v>10809</v>
      </c>
      <c r="K10" s="115">
        <f t="shared" ref="K10:K15" si="1">L10/J10</f>
        <v>0.87829678971227687</v>
      </c>
      <c r="L10" s="98">
        <v>9493.51</v>
      </c>
      <c r="M10" s="109">
        <v>5800</v>
      </c>
    </row>
    <row r="11" spans="1:13">
      <c r="A11" s="101" t="s">
        <v>40</v>
      </c>
      <c r="B11" s="108">
        <v>137.81</v>
      </c>
      <c r="C11" s="98">
        <v>990.83</v>
      </c>
      <c r="D11" s="98">
        <f>B11*C11</f>
        <v>136546.28230000002</v>
      </c>
      <c r="E11" s="101">
        <v>131681.31</v>
      </c>
      <c r="F11" s="108">
        <v>92</v>
      </c>
      <c r="G11" s="98">
        <v>27.11</v>
      </c>
      <c r="H11" s="98">
        <f t="shared" si="0"/>
        <v>2494.12</v>
      </c>
      <c r="I11" s="109">
        <v>2100</v>
      </c>
      <c r="J11" s="108">
        <v>8576</v>
      </c>
      <c r="K11" s="115">
        <f t="shared" si="1"/>
        <v>0.91531833022388065</v>
      </c>
      <c r="L11" s="98">
        <v>7849.77</v>
      </c>
      <c r="M11" s="109">
        <v>5000</v>
      </c>
    </row>
    <row r="12" spans="1:13">
      <c r="A12" s="102" t="s">
        <v>41</v>
      </c>
      <c r="B12" s="110">
        <f>SUM(B9:B11)</f>
        <v>426.84</v>
      </c>
      <c r="C12" s="98"/>
      <c r="D12" s="125">
        <f>SUM(D9:D11)</f>
        <v>422925.87720000005</v>
      </c>
      <c r="E12" s="102">
        <f>SUM(E9:E11)</f>
        <v>281203.51</v>
      </c>
      <c r="F12" s="110">
        <f>SUM(F9:F11)</f>
        <v>299</v>
      </c>
      <c r="G12" s="99"/>
      <c r="H12" s="99">
        <f>SUM(H9:H11)</f>
        <v>8105.89</v>
      </c>
      <c r="I12" s="111">
        <f>SUM(I9:I11)</f>
        <v>6300</v>
      </c>
      <c r="J12" s="110">
        <f>SUM(J9:J11)</f>
        <v>28869</v>
      </c>
      <c r="K12" s="115"/>
      <c r="L12" s="99">
        <f>SUM(L9:L11)</f>
        <v>25276.47</v>
      </c>
      <c r="M12" s="111">
        <f>SUM(M9:M11)</f>
        <v>18600</v>
      </c>
    </row>
    <row r="13" spans="1:13">
      <c r="A13" s="101" t="s">
        <v>43</v>
      </c>
      <c r="B13" s="108">
        <v>52.63</v>
      </c>
      <c r="C13" s="98">
        <v>990.83</v>
      </c>
      <c r="D13" s="115">
        <f>B13*C13</f>
        <v>52147.382900000004</v>
      </c>
      <c r="E13" s="101">
        <v>143274.01999999999</v>
      </c>
      <c r="F13" s="108">
        <v>118</v>
      </c>
      <c r="G13" s="98">
        <v>27.11</v>
      </c>
      <c r="H13" s="98">
        <f t="shared" si="0"/>
        <v>3198.98</v>
      </c>
      <c r="I13" s="109">
        <v>2100</v>
      </c>
      <c r="J13" s="108">
        <v>5730</v>
      </c>
      <c r="K13" s="115">
        <f t="shared" si="1"/>
        <v>0.93636649214659684</v>
      </c>
      <c r="L13" s="98">
        <v>5365.38</v>
      </c>
      <c r="M13" s="109">
        <v>12041.85</v>
      </c>
    </row>
    <row r="14" spans="1:13">
      <c r="A14" s="101" t="s">
        <v>44</v>
      </c>
      <c r="B14" s="108"/>
      <c r="C14" s="98"/>
      <c r="D14" s="115"/>
      <c r="E14" s="101"/>
      <c r="F14" s="108">
        <v>111</v>
      </c>
      <c r="G14" s="98">
        <v>27.11</v>
      </c>
      <c r="H14" s="98">
        <f t="shared" si="0"/>
        <v>3009.21</v>
      </c>
      <c r="I14" s="109">
        <v>2100</v>
      </c>
      <c r="J14" s="108">
        <v>4923</v>
      </c>
      <c r="K14" s="115">
        <f t="shared" si="1"/>
        <v>0.96364005687588872</v>
      </c>
      <c r="L14" s="98">
        <v>4744</v>
      </c>
      <c r="M14" s="109">
        <v>4656</v>
      </c>
    </row>
    <row r="15" spans="1:13">
      <c r="A15" s="101" t="s">
        <v>45</v>
      </c>
      <c r="B15" s="108"/>
      <c r="C15" s="98"/>
      <c r="D15" s="115"/>
      <c r="E15" s="101">
        <v>72330.59</v>
      </c>
      <c r="F15" s="108">
        <v>139</v>
      </c>
      <c r="G15" s="98">
        <v>27.11</v>
      </c>
      <c r="H15" s="98">
        <f t="shared" si="0"/>
        <v>3768.29</v>
      </c>
      <c r="I15" s="109">
        <v>2749</v>
      </c>
      <c r="J15" s="108">
        <v>2561</v>
      </c>
      <c r="K15" s="115">
        <f t="shared" si="1"/>
        <v>0.9930417805544709</v>
      </c>
      <c r="L15" s="98">
        <v>2543.1799999999998</v>
      </c>
      <c r="M15" s="109">
        <v>2000.15</v>
      </c>
    </row>
    <row r="16" spans="1:13">
      <c r="A16" s="102" t="s">
        <v>46</v>
      </c>
      <c r="B16" s="110">
        <f>SUM(B13:B15)</f>
        <v>52.63</v>
      </c>
      <c r="C16" s="99"/>
      <c r="D16" s="125">
        <f>SUM(D13:D15)</f>
        <v>52147.382900000004</v>
      </c>
      <c r="E16" s="102">
        <f>SUM(E13:E15)</f>
        <v>215604.61</v>
      </c>
      <c r="F16" s="110">
        <f>SUM(F13:F15)</f>
        <v>368</v>
      </c>
      <c r="G16" s="98"/>
      <c r="H16" s="99">
        <f>SUM(H13:H15)</f>
        <v>9976.48</v>
      </c>
      <c r="I16" s="111">
        <f>SUM(I13:I15)</f>
        <v>6949</v>
      </c>
      <c r="J16" s="110">
        <f>SUM(J13:J15)</f>
        <v>13214</v>
      </c>
      <c r="K16" s="115"/>
      <c r="L16" s="99">
        <f>SUM(L13:L15)</f>
        <v>12652.560000000001</v>
      </c>
      <c r="M16" s="111">
        <f>SUM(M13:M15)</f>
        <v>18698</v>
      </c>
    </row>
    <row r="17" spans="1:13">
      <c r="A17" s="101" t="s">
        <v>47</v>
      </c>
      <c r="B17" s="108"/>
      <c r="C17" s="98"/>
      <c r="D17" s="115"/>
      <c r="E17" s="101"/>
      <c r="F17" s="108">
        <v>122</v>
      </c>
      <c r="G17" s="98">
        <v>27.11</v>
      </c>
      <c r="H17" s="98">
        <f>F17*G17</f>
        <v>3307.42</v>
      </c>
      <c r="I17" s="109">
        <v>2100</v>
      </c>
      <c r="J17" s="108">
        <v>1301</v>
      </c>
      <c r="K17" s="115">
        <f>L17/J17</f>
        <v>1.0027209838585702</v>
      </c>
      <c r="L17" s="98">
        <v>1304.54</v>
      </c>
      <c r="M17" s="109">
        <v>1000</v>
      </c>
    </row>
    <row r="18" spans="1:13">
      <c r="A18" s="101" t="s">
        <v>48</v>
      </c>
      <c r="B18" s="108"/>
      <c r="C18" s="98"/>
      <c r="D18" s="115"/>
      <c r="E18" s="101"/>
      <c r="F18" s="108">
        <v>72</v>
      </c>
      <c r="G18" s="98">
        <v>27.11</v>
      </c>
      <c r="H18" s="98">
        <f>F18*G18</f>
        <v>1951.92</v>
      </c>
      <c r="I18" s="109">
        <v>1000</v>
      </c>
      <c r="J18" s="108">
        <v>477</v>
      </c>
      <c r="K18" s="115">
        <f>L18/J18</f>
        <v>1.0027253668763103</v>
      </c>
      <c r="L18" s="98">
        <v>478.3</v>
      </c>
      <c r="M18" s="109">
        <v>1413.87</v>
      </c>
    </row>
    <row r="19" spans="1:13">
      <c r="A19" s="101" t="s">
        <v>49</v>
      </c>
      <c r="B19" s="108"/>
      <c r="C19" s="98"/>
      <c r="D19" s="115"/>
      <c r="E19" s="101"/>
      <c r="F19" s="108">
        <v>67</v>
      </c>
      <c r="G19" s="98">
        <v>27.11</v>
      </c>
      <c r="H19" s="98">
        <f>F19*G19</f>
        <v>1816.37</v>
      </c>
      <c r="I19" s="109">
        <v>3100</v>
      </c>
      <c r="J19" s="108">
        <v>1390</v>
      </c>
      <c r="K19" s="115">
        <f>L19/J19</f>
        <v>1.0027194244604316</v>
      </c>
      <c r="L19" s="98">
        <v>1393.78</v>
      </c>
      <c r="M19" s="109">
        <f>L19</f>
        <v>1393.78</v>
      </c>
    </row>
    <row r="20" spans="1:13">
      <c r="A20" s="102" t="s">
        <v>50</v>
      </c>
      <c r="B20" s="110"/>
      <c r="C20" s="99"/>
      <c r="D20" s="125"/>
      <c r="E20" s="102">
        <v>0</v>
      </c>
      <c r="F20" s="110">
        <f>SUM(F17:F19)</f>
        <v>261</v>
      </c>
      <c r="G20" s="99"/>
      <c r="H20" s="99">
        <f>SUM(H17:H19)</f>
        <v>7075.71</v>
      </c>
      <c r="I20" s="111">
        <f>SUM(I17:I19)</f>
        <v>6200</v>
      </c>
      <c r="J20" s="110">
        <f>SUM(J17:J19)</f>
        <v>3168</v>
      </c>
      <c r="K20" s="99"/>
      <c r="L20" s="99">
        <f>SUM(L17:L19)</f>
        <v>3176.62</v>
      </c>
      <c r="M20" s="111">
        <f>SUM(M17:M19)</f>
        <v>3807.6499999999996</v>
      </c>
    </row>
    <row r="21" spans="1:13">
      <c r="A21" s="101" t="s">
        <v>51</v>
      </c>
      <c r="B21" s="108">
        <v>54.09</v>
      </c>
      <c r="C21" s="98">
        <v>990.83</v>
      </c>
      <c r="D21" s="115">
        <f>B21*C21</f>
        <v>53593.994700000003</v>
      </c>
      <c r="E21" s="101">
        <v>85050.87</v>
      </c>
      <c r="F21" s="108">
        <v>69</v>
      </c>
      <c r="G21" s="98">
        <v>27.11</v>
      </c>
      <c r="H21" s="98">
        <f>F21*G21</f>
        <v>1870.59</v>
      </c>
      <c r="I21" s="109">
        <v>3100</v>
      </c>
      <c r="J21" s="108">
        <v>3945</v>
      </c>
      <c r="K21" s="115">
        <f>L21/J21</f>
        <v>1.0027173637515843</v>
      </c>
      <c r="L21" s="98">
        <v>3955.72</v>
      </c>
      <c r="M21" s="109">
        <v>3955.72</v>
      </c>
    </row>
    <row r="22" spans="1:13">
      <c r="A22" s="101" t="s">
        <v>52</v>
      </c>
      <c r="B22" s="108">
        <v>104.76</v>
      </c>
      <c r="C22" s="98">
        <v>990.83</v>
      </c>
      <c r="D22" s="115">
        <f>B22*C22</f>
        <v>103799.35080000001</v>
      </c>
      <c r="E22" s="101">
        <v>19144.02</v>
      </c>
      <c r="F22" s="108">
        <v>183</v>
      </c>
      <c r="G22" s="98">
        <v>27.11</v>
      </c>
      <c r="H22" s="98">
        <f>F22*G22</f>
        <v>4961.13</v>
      </c>
      <c r="I22" s="109">
        <v>9440.7999999999993</v>
      </c>
      <c r="J22" s="108">
        <v>7550</v>
      </c>
      <c r="K22" s="115">
        <f>L22/J22</f>
        <v>1.0178913907284768</v>
      </c>
      <c r="L22" s="98">
        <v>7685.08</v>
      </c>
      <c r="M22" s="109">
        <v>7685.08</v>
      </c>
    </row>
    <row r="23" spans="1:13">
      <c r="A23" s="101" t="s">
        <v>53</v>
      </c>
      <c r="B23" s="108">
        <v>100.77</v>
      </c>
      <c r="C23" s="98">
        <v>990.83</v>
      </c>
      <c r="D23" s="115">
        <f>B23*C23</f>
        <v>99845.939100000003</v>
      </c>
      <c r="E23" s="101">
        <v>99000</v>
      </c>
      <c r="F23" s="108">
        <v>97</v>
      </c>
      <c r="G23" s="98">
        <v>27.11</v>
      </c>
      <c r="H23" s="98">
        <f>F23*G23</f>
        <v>2629.67</v>
      </c>
      <c r="I23" s="109">
        <v>2629.67</v>
      </c>
      <c r="J23" s="108">
        <v>12725</v>
      </c>
      <c r="K23" s="115">
        <f>L23/J23</f>
        <v>1.0503198428290765</v>
      </c>
      <c r="L23" s="98">
        <v>13365.32</v>
      </c>
      <c r="M23" s="109">
        <v>13365.32</v>
      </c>
    </row>
    <row r="24" spans="1:13" ht="13.5" thickBot="1">
      <c r="A24" s="102" t="s">
        <v>54</v>
      </c>
      <c r="B24" s="120">
        <f>SUM(B21:B23)</f>
        <v>259.62</v>
      </c>
      <c r="C24" s="121"/>
      <c r="D24" s="126">
        <f>SUM(D21:D23)</f>
        <v>257239.28460000001</v>
      </c>
      <c r="E24" s="123">
        <f>SUM(E21:E23)</f>
        <v>203194.89</v>
      </c>
      <c r="F24" s="110">
        <f>SUM(F21:F23)</f>
        <v>349</v>
      </c>
      <c r="G24" s="99"/>
      <c r="H24" s="99">
        <f>SUM(H21:H23)</f>
        <v>9461.39</v>
      </c>
      <c r="I24" s="111">
        <f>SUM(I21:I23)</f>
        <v>15170.47</v>
      </c>
      <c r="J24" s="110">
        <f>SUM(J21:J23)</f>
        <v>24220</v>
      </c>
      <c r="K24" s="99"/>
      <c r="L24" s="99">
        <f>SUM(L21:L23)</f>
        <v>25006.12</v>
      </c>
      <c r="M24" s="111">
        <f>SUM(M21:M23)</f>
        <v>25006.12</v>
      </c>
    </row>
    <row r="25" spans="1:13" ht="15.75" thickBot="1">
      <c r="A25" s="97" t="s">
        <v>55</v>
      </c>
      <c r="B25" s="96">
        <f>B24+B20+B16+B12</f>
        <v>739.08999999999992</v>
      </c>
      <c r="C25" s="96"/>
      <c r="D25" s="127">
        <f>D24+D20+D16+D12+D8</f>
        <v>754027.5547000001</v>
      </c>
      <c r="E25" s="96">
        <f>E24+E20+E16+E12</f>
        <v>700003.01</v>
      </c>
      <c r="F25" s="120">
        <f>F24+F20+F16+F12</f>
        <v>1277</v>
      </c>
      <c r="G25" s="121"/>
      <c r="H25" s="121">
        <f>H24+H20+H16+H12</f>
        <v>34619.47</v>
      </c>
      <c r="I25" s="122">
        <f>I24+I20+I16+I12</f>
        <v>34619.47</v>
      </c>
      <c r="J25" s="120">
        <f>J24+J20+J16+J12</f>
        <v>69471</v>
      </c>
      <c r="K25" s="121"/>
      <c r="L25" s="121">
        <f>L24+L20+L16+L12</f>
        <v>66111.77</v>
      </c>
      <c r="M25" s="122">
        <f>M24+M20+M16+M12</f>
        <v>66111.76999999999</v>
      </c>
    </row>
    <row r="26" spans="1:13" ht="18.75">
      <c r="A26" s="116" t="s">
        <v>56</v>
      </c>
      <c r="D26" s="117"/>
      <c r="E26" s="124">
        <f>D25-E25</f>
        <v>54024.544700000086</v>
      </c>
      <c r="F26" s="117"/>
      <c r="G26" s="117"/>
      <c r="H26" s="117"/>
      <c r="I26" s="117">
        <f>H25-I25</f>
        <v>0</v>
      </c>
      <c r="J26" s="117"/>
      <c r="K26" s="117"/>
      <c r="L26" s="117"/>
      <c r="M26" s="117">
        <f>L25-M25</f>
        <v>0</v>
      </c>
    </row>
    <row r="28" spans="1:13">
      <c r="A28" s="119" t="s">
        <v>59</v>
      </c>
      <c r="B28" t="s">
        <v>57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D19" sqref="D19"/>
    </sheetView>
  </sheetViews>
  <sheetFormatPr defaultRowHeight="12.75"/>
  <cols>
    <col min="1" max="1" width="19.85546875" customWidth="1"/>
    <col min="2" max="2" width="8" customWidth="1"/>
    <col min="4" max="4" width="12.7109375" customWidth="1"/>
    <col min="5" max="5" width="11.85546875" customWidth="1"/>
    <col min="6" max="6" width="7.140625" customWidth="1"/>
    <col min="7" max="7" width="6.7109375" customWidth="1"/>
    <col min="10" max="10" width="7.85546875" customWidth="1"/>
    <col min="11" max="11" width="6.85546875" customWidth="1"/>
    <col min="12" max="12" width="11.7109375" customWidth="1"/>
    <col min="13" max="13" width="11" customWidth="1"/>
  </cols>
  <sheetData>
    <row r="1" spans="1:14" ht="15.75">
      <c r="A1" s="6" t="s">
        <v>25</v>
      </c>
    </row>
    <row r="3" spans="1:14" ht="20.25">
      <c r="B3" s="118" t="s">
        <v>63</v>
      </c>
    </row>
    <row r="4" spans="1:14" ht="13.5" thickBot="1"/>
    <row r="5" spans="1:14" ht="20.25">
      <c r="B5" s="103" t="s">
        <v>28</v>
      </c>
      <c r="C5" s="104"/>
      <c r="D5" s="104"/>
      <c r="E5" s="112"/>
      <c r="F5" s="103" t="s">
        <v>33</v>
      </c>
      <c r="G5" s="104"/>
      <c r="H5" s="104"/>
      <c r="I5" s="105"/>
      <c r="J5" s="103" t="s">
        <v>36</v>
      </c>
      <c r="K5" s="104"/>
      <c r="L5" s="113"/>
      <c r="M5" s="114"/>
      <c r="N5" t="s">
        <v>66</v>
      </c>
    </row>
    <row r="6" spans="1:14" s="94" customFormat="1" ht="15">
      <c r="B6" s="106" t="s">
        <v>29</v>
      </c>
      <c r="C6" s="97"/>
      <c r="D6" s="97"/>
      <c r="E6" s="100"/>
      <c r="F6" s="106" t="s">
        <v>29</v>
      </c>
      <c r="G6" s="97"/>
      <c r="H6" s="97"/>
      <c r="I6" s="107"/>
      <c r="J6" s="106" t="s">
        <v>29</v>
      </c>
      <c r="K6" s="97"/>
      <c r="L6" s="97"/>
      <c r="M6" s="107"/>
      <c r="N6" s="94" t="s">
        <v>67</v>
      </c>
    </row>
    <row r="7" spans="1:14">
      <c r="B7" s="108" t="s">
        <v>30</v>
      </c>
      <c r="C7" s="98" t="s">
        <v>31</v>
      </c>
      <c r="D7" s="98" t="s">
        <v>11</v>
      </c>
      <c r="E7" s="101" t="s">
        <v>32</v>
      </c>
      <c r="F7" s="108" t="s">
        <v>34</v>
      </c>
      <c r="G7" s="98" t="s">
        <v>35</v>
      </c>
      <c r="H7" s="98" t="s">
        <v>11</v>
      </c>
      <c r="I7" s="109" t="s">
        <v>32</v>
      </c>
      <c r="J7" s="108" t="s">
        <v>19</v>
      </c>
      <c r="K7" s="98" t="s">
        <v>37</v>
      </c>
      <c r="L7" s="98" t="s">
        <v>11</v>
      </c>
      <c r="M7" s="109" t="s">
        <v>32</v>
      </c>
      <c r="N7">
        <v>2012</v>
      </c>
    </row>
    <row r="8" spans="1:14">
      <c r="A8" s="102" t="s">
        <v>42</v>
      </c>
      <c r="B8" s="108"/>
      <c r="C8" s="98"/>
      <c r="D8" s="99">
        <v>50573.58</v>
      </c>
      <c r="E8" s="101"/>
      <c r="F8" s="108"/>
      <c r="G8" s="98"/>
      <c r="H8" s="98"/>
      <c r="I8" s="109"/>
      <c r="J8" s="108"/>
      <c r="K8" s="98"/>
      <c r="L8" s="98"/>
      <c r="M8" s="109"/>
    </row>
    <row r="9" spans="1:14">
      <c r="A9" s="101" t="s">
        <v>38</v>
      </c>
      <c r="B9" s="108">
        <v>152.62</v>
      </c>
      <c r="C9" s="98">
        <v>1202.06</v>
      </c>
      <c r="D9" s="98">
        <f>B9*C9</f>
        <v>183458.39720000001</v>
      </c>
      <c r="E9" s="101">
        <v>0</v>
      </c>
      <c r="F9" s="108">
        <v>120</v>
      </c>
      <c r="G9" s="98">
        <v>27.11</v>
      </c>
      <c r="H9" s="98">
        <f>F9*G9</f>
        <v>3253.2</v>
      </c>
      <c r="I9" s="109">
        <v>2500</v>
      </c>
      <c r="J9" s="108">
        <v>3806</v>
      </c>
      <c r="K9" s="115">
        <f>L9/J9</f>
        <v>1.05922753547031</v>
      </c>
      <c r="L9" s="98">
        <v>4031.42</v>
      </c>
      <c r="M9" s="109">
        <v>4031.42</v>
      </c>
    </row>
    <row r="10" spans="1:14">
      <c r="A10" s="101" t="s">
        <v>39</v>
      </c>
      <c r="B10" s="108">
        <v>178.03</v>
      </c>
      <c r="C10" s="98">
        <v>1202.06</v>
      </c>
      <c r="D10" s="98">
        <f>B10*C10</f>
        <v>214002.74179999999</v>
      </c>
      <c r="E10" s="101">
        <v>0</v>
      </c>
      <c r="F10" s="108">
        <v>122</v>
      </c>
      <c r="G10" s="98">
        <v>27.11</v>
      </c>
      <c r="H10" s="98">
        <f t="shared" ref="H10:H15" si="0">F10*G10</f>
        <v>3307.42</v>
      </c>
      <c r="I10" s="109">
        <v>3000</v>
      </c>
      <c r="J10" s="108">
        <v>9918</v>
      </c>
      <c r="K10" s="115">
        <f t="shared" ref="K10:K15" si="1">L10/J10</f>
        <v>1.0754406130268199</v>
      </c>
      <c r="L10" s="98">
        <v>10666.22</v>
      </c>
      <c r="M10" s="109">
        <v>9468</v>
      </c>
      <c r="N10" s="128">
        <v>137</v>
      </c>
    </row>
    <row r="11" spans="1:14">
      <c r="A11" s="101" t="s">
        <v>40</v>
      </c>
      <c r="B11" s="108">
        <v>111.89</v>
      </c>
      <c r="C11" s="98">
        <v>1202.06</v>
      </c>
      <c r="D11" s="98">
        <f>B11*C11</f>
        <v>134498.49340000001</v>
      </c>
      <c r="E11" s="101">
        <v>495000</v>
      </c>
      <c r="F11" s="108">
        <v>55</v>
      </c>
      <c r="G11" s="98">
        <v>31.74</v>
      </c>
      <c r="H11" s="98">
        <f t="shared" si="0"/>
        <v>1745.6999999999998</v>
      </c>
      <c r="I11" s="109">
        <v>2806.32</v>
      </c>
      <c r="J11" s="108">
        <v>7750</v>
      </c>
      <c r="K11" s="115">
        <f t="shared" si="1"/>
        <v>1.0895070967741936</v>
      </c>
      <c r="L11" s="98">
        <v>8443.68</v>
      </c>
      <c r="M11" s="109">
        <v>9641.9</v>
      </c>
      <c r="N11" s="128">
        <v>127</v>
      </c>
    </row>
    <row r="12" spans="1:14" ht="22.5" customHeight="1">
      <c r="A12" s="102" t="s">
        <v>41</v>
      </c>
      <c r="B12" s="110">
        <f>SUM(B9:B11)</f>
        <v>442.53999999999996</v>
      </c>
      <c r="C12" s="98"/>
      <c r="D12" s="125">
        <f>SUM(D9:D11)</f>
        <v>531959.6324</v>
      </c>
      <c r="E12" s="102">
        <f>SUM(E9:E11)</f>
        <v>495000</v>
      </c>
      <c r="F12" s="110">
        <f>SUM(F9:F11)</f>
        <v>297</v>
      </c>
      <c r="G12" s="99"/>
      <c r="H12" s="99">
        <f>SUM(H9:H11)</f>
        <v>8306.32</v>
      </c>
      <c r="I12" s="111">
        <f>SUM(I9:I11)</f>
        <v>8306.32</v>
      </c>
      <c r="J12" s="110">
        <f>SUM(J9:J11)</f>
        <v>21474</v>
      </c>
      <c r="K12" s="115"/>
      <c r="L12" s="99">
        <f>SUM(L9:L11)</f>
        <v>23141.32</v>
      </c>
      <c r="M12" s="111">
        <f>SUM(M9:M11)</f>
        <v>23141.32</v>
      </c>
    </row>
    <row r="13" spans="1:14">
      <c r="A13" s="101" t="s">
        <v>43</v>
      </c>
      <c r="B13" s="108">
        <v>23.42</v>
      </c>
      <c r="C13" s="98">
        <v>1202.06</v>
      </c>
      <c r="D13" s="115">
        <f>B13*C13</f>
        <v>28152.245200000001</v>
      </c>
      <c r="E13" s="101"/>
      <c r="F13" s="108">
        <v>55</v>
      </c>
      <c r="G13" s="98">
        <v>31.74</v>
      </c>
      <c r="H13" s="98">
        <f t="shared" si="0"/>
        <v>1745.6999999999998</v>
      </c>
      <c r="I13" s="109">
        <v>1745.7</v>
      </c>
      <c r="J13" s="108">
        <v>6294</v>
      </c>
      <c r="K13" s="115">
        <f t="shared" si="1"/>
        <v>1.1998236415633936</v>
      </c>
      <c r="L13" s="98">
        <v>7551.69</v>
      </c>
      <c r="M13" s="109">
        <v>6800.68</v>
      </c>
    </row>
    <row r="14" spans="1:14">
      <c r="A14" s="101" t="s">
        <v>44</v>
      </c>
      <c r="B14" s="108"/>
      <c r="C14" s="98"/>
      <c r="D14" s="115"/>
      <c r="E14" s="101">
        <v>115733.54</v>
      </c>
      <c r="F14" s="108">
        <v>93</v>
      </c>
      <c r="G14" s="98">
        <v>31.74</v>
      </c>
      <c r="H14" s="98">
        <f t="shared" si="0"/>
        <v>2951.8199999999997</v>
      </c>
      <c r="I14" s="109">
        <v>2951.82</v>
      </c>
      <c r="J14" s="108">
        <v>4856</v>
      </c>
      <c r="K14" s="115">
        <f t="shared" si="1"/>
        <v>1.1215197693574959</v>
      </c>
      <c r="L14" s="98">
        <v>5446.1</v>
      </c>
      <c r="M14" s="109">
        <v>6197.11</v>
      </c>
      <c r="N14" s="128">
        <v>193</v>
      </c>
    </row>
    <row r="15" spans="1:14">
      <c r="A15" s="101" t="s">
        <v>45</v>
      </c>
      <c r="B15" s="108"/>
      <c r="C15" s="98"/>
      <c r="D15" s="115"/>
      <c r="E15" s="101"/>
      <c r="F15" s="108">
        <v>50</v>
      </c>
      <c r="G15" s="98">
        <v>31.74</v>
      </c>
      <c r="H15" s="98">
        <f t="shared" si="0"/>
        <v>1587</v>
      </c>
      <c r="I15" s="109">
        <v>1587</v>
      </c>
      <c r="J15" s="108">
        <v>3053</v>
      </c>
      <c r="K15" s="115">
        <f t="shared" si="1"/>
        <v>1.1262037340320996</v>
      </c>
      <c r="L15" s="98">
        <v>3438.3</v>
      </c>
      <c r="M15" s="109">
        <v>3438.3</v>
      </c>
      <c r="N15" s="128">
        <v>96</v>
      </c>
    </row>
    <row r="16" spans="1:14" s="95" customFormat="1" ht="23.25" customHeight="1">
      <c r="A16" s="102" t="s">
        <v>46</v>
      </c>
      <c r="B16" s="110">
        <f>SUM(B13:B15)</f>
        <v>23.42</v>
      </c>
      <c r="C16" s="99"/>
      <c r="D16" s="125">
        <f>SUM(D13:D15)</f>
        <v>28152.245200000001</v>
      </c>
      <c r="E16" s="102">
        <f>SUM(E13:E15)</f>
        <v>115733.54</v>
      </c>
      <c r="F16" s="110">
        <f>SUM(F13:F15)</f>
        <v>198</v>
      </c>
      <c r="G16" s="98"/>
      <c r="H16" s="99">
        <f>SUM(H13:H15)</f>
        <v>6284.5199999999995</v>
      </c>
      <c r="I16" s="111">
        <f>SUM(I13:I15)</f>
        <v>6284.52</v>
      </c>
      <c r="J16" s="110">
        <f>SUM(J13:J15)</f>
        <v>14203</v>
      </c>
      <c r="K16" s="115"/>
      <c r="L16" s="99">
        <f>SUM(L13:L15)</f>
        <v>16436.09</v>
      </c>
      <c r="M16" s="111">
        <f>SUM(M13:M15)</f>
        <v>16436.09</v>
      </c>
    </row>
    <row r="17" spans="1:14">
      <c r="A17" s="101" t="s">
        <v>47</v>
      </c>
      <c r="B17" s="108"/>
      <c r="C17" s="98"/>
      <c r="D17" s="115"/>
      <c r="E17" s="101"/>
      <c r="F17" s="108">
        <v>35</v>
      </c>
      <c r="G17" s="98">
        <v>31.74</v>
      </c>
      <c r="H17" s="98">
        <f>F17*G17</f>
        <v>1110.8999999999999</v>
      </c>
      <c r="I17" s="109">
        <v>1110.9000000000001</v>
      </c>
      <c r="J17" s="108">
        <v>1581</v>
      </c>
      <c r="K17" s="115">
        <f>L17/J17</f>
        <v>1.1360404807084123</v>
      </c>
      <c r="L17" s="98">
        <v>1796.08</v>
      </c>
      <c r="M17" s="109">
        <f>L17</f>
        <v>1796.08</v>
      </c>
      <c r="N17" s="128"/>
    </row>
    <row r="18" spans="1:14">
      <c r="A18" s="101" t="s">
        <v>48</v>
      </c>
      <c r="B18" s="108"/>
      <c r="C18" s="98"/>
      <c r="D18" s="115"/>
      <c r="E18" s="101"/>
      <c r="F18" s="108">
        <v>41</v>
      </c>
      <c r="G18" s="98">
        <v>31.74</v>
      </c>
      <c r="H18" s="98">
        <f>F18*G18</f>
        <v>1301.3399999999999</v>
      </c>
      <c r="I18" s="109">
        <v>1301.3399999999999</v>
      </c>
      <c r="J18" s="108">
        <v>912</v>
      </c>
      <c r="K18" s="115">
        <f>L18/J18</f>
        <v>1.1360416666666666</v>
      </c>
      <c r="L18" s="98">
        <v>1036.07</v>
      </c>
      <c r="M18" s="109">
        <f>L18</f>
        <v>1036.07</v>
      </c>
    </row>
    <row r="19" spans="1:14">
      <c r="A19" s="101" t="s">
        <v>49</v>
      </c>
      <c r="B19" s="108"/>
      <c r="C19" s="98"/>
      <c r="D19" s="115"/>
      <c r="E19" s="101"/>
      <c r="F19" s="108">
        <v>47</v>
      </c>
      <c r="G19" s="98">
        <v>31.74</v>
      </c>
      <c r="H19" s="98">
        <f>F19*G19</f>
        <v>1491.78</v>
      </c>
      <c r="I19" s="109">
        <v>1491.78</v>
      </c>
      <c r="J19" s="108">
        <v>1882</v>
      </c>
      <c r="K19" s="115">
        <f>L19/J19</f>
        <v>1.1360414452709884</v>
      </c>
      <c r="L19" s="98">
        <v>2138.0300000000002</v>
      </c>
      <c r="M19" s="109">
        <f>L19</f>
        <v>2138.0300000000002</v>
      </c>
      <c r="N19" s="128">
        <v>220</v>
      </c>
    </row>
    <row r="20" spans="1:14" s="95" customFormat="1" ht="21.75" customHeight="1">
      <c r="A20" s="102" t="s">
        <v>50</v>
      </c>
      <c r="B20" s="110"/>
      <c r="C20" s="99"/>
      <c r="D20" s="125"/>
      <c r="E20" s="102">
        <v>0</v>
      </c>
      <c r="F20" s="110">
        <f>SUM(F17:F19)</f>
        <v>123</v>
      </c>
      <c r="G20" s="99"/>
      <c r="H20" s="99">
        <f>SUM(H17:H19)</f>
        <v>3904.0199999999995</v>
      </c>
      <c r="I20" s="111">
        <f>SUM(I17:I19)</f>
        <v>3904.0199999999995</v>
      </c>
      <c r="J20" s="110">
        <f>SUM(J17:J19)</f>
        <v>4375</v>
      </c>
      <c r="K20" s="99"/>
      <c r="L20" s="99">
        <f>SUM(L17:L19)</f>
        <v>4970.18</v>
      </c>
      <c r="M20" s="111">
        <f>SUM(M17:M19)</f>
        <v>4970.18</v>
      </c>
    </row>
    <row r="21" spans="1:14">
      <c r="A21" s="101" t="s">
        <v>51</v>
      </c>
      <c r="B21" s="108">
        <v>35.97</v>
      </c>
      <c r="C21" s="98">
        <v>1202.06</v>
      </c>
      <c r="D21" s="115">
        <f>B21*C21</f>
        <v>43238.098199999993</v>
      </c>
      <c r="E21" s="101">
        <v>94264.8</v>
      </c>
      <c r="F21" s="108">
        <v>74</v>
      </c>
      <c r="G21" s="98">
        <v>31.74</v>
      </c>
      <c r="H21" s="98">
        <f>F21*G21</f>
        <v>2348.7599999999998</v>
      </c>
      <c r="I21" s="109">
        <v>2348.7600000000002</v>
      </c>
      <c r="J21" s="108">
        <v>4347</v>
      </c>
      <c r="K21" s="115">
        <f>L21/J21</f>
        <v>1.1360432482171612</v>
      </c>
      <c r="L21" s="98">
        <v>4938.38</v>
      </c>
      <c r="M21" s="109">
        <v>4938.38</v>
      </c>
    </row>
    <row r="22" spans="1:14">
      <c r="A22" s="101" t="s">
        <v>52</v>
      </c>
      <c r="B22" s="108">
        <v>109.7</v>
      </c>
      <c r="C22" s="98">
        <v>1202.06</v>
      </c>
      <c r="D22" s="115">
        <f>B22*C22</f>
        <v>131865.98199999999</v>
      </c>
      <c r="E22" s="101">
        <v>69179.759999999995</v>
      </c>
      <c r="F22" s="108">
        <v>77</v>
      </c>
      <c r="G22" s="98">
        <v>31.74</v>
      </c>
      <c r="H22" s="98">
        <f>F22*G22</f>
        <v>2443.98</v>
      </c>
      <c r="I22" s="109">
        <v>2443.98</v>
      </c>
      <c r="J22" s="108">
        <v>6727</v>
      </c>
      <c r="K22" s="115">
        <f>L22/J22</f>
        <v>1.1360383529061988</v>
      </c>
      <c r="L22" s="98">
        <v>7642.13</v>
      </c>
      <c r="M22" s="109">
        <v>7642.13</v>
      </c>
    </row>
    <row r="23" spans="1:14">
      <c r="A23" s="101" t="s">
        <v>65</v>
      </c>
      <c r="B23" s="108">
        <v>174.41</v>
      </c>
      <c r="C23" s="98">
        <v>1202.06</v>
      </c>
      <c r="D23" s="115">
        <f>B23*C23</f>
        <v>209651.28459999998</v>
      </c>
      <c r="E23" s="101">
        <v>220821.9</v>
      </c>
      <c r="F23" s="108">
        <v>83</v>
      </c>
      <c r="G23" s="98">
        <v>31.74</v>
      </c>
      <c r="H23" s="98">
        <f>F23*G23</f>
        <v>2634.42</v>
      </c>
      <c r="I23" s="109">
        <v>2634.42</v>
      </c>
      <c r="J23" s="108">
        <v>7743</v>
      </c>
      <c r="K23" s="115">
        <v>1.1399999999999999</v>
      </c>
      <c r="L23" s="98">
        <f>J23*K23</f>
        <v>8827.0199999999986</v>
      </c>
      <c r="M23" s="109">
        <v>8559.9</v>
      </c>
      <c r="N23" s="128">
        <v>137</v>
      </c>
    </row>
    <row r="24" spans="1:14" s="95" customFormat="1" ht="21" customHeight="1" thickBot="1">
      <c r="A24" s="102" t="s">
        <v>54</v>
      </c>
      <c r="B24" s="120">
        <f>SUM(B21:B23)</f>
        <v>320.08000000000004</v>
      </c>
      <c r="C24" s="121"/>
      <c r="D24" s="126">
        <f>SUM(D21:D23)</f>
        <v>384755.36479999998</v>
      </c>
      <c r="E24" s="123">
        <f>SUM(E21:E23)</f>
        <v>384266.45999999996</v>
      </c>
      <c r="F24" s="110">
        <f>SUM(F21:F23)</f>
        <v>234</v>
      </c>
      <c r="G24" s="99"/>
      <c r="H24" s="99">
        <f>SUM(H21:H23)</f>
        <v>7427.16</v>
      </c>
      <c r="I24" s="111">
        <f>SUM(I21:I23)</f>
        <v>7427.16</v>
      </c>
      <c r="J24" s="110">
        <f>SUM(J21:J23)</f>
        <v>18817</v>
      </c>
      <c r="K24" s="99"/>
      <c r="L24" s="99">
        <f>SUM(L21:L23)</f>
        <v>21407.53</v>
      </c>
      <c r="M24" s="111">
        <f>SUM(M21:M23)</f>
        <v>21140.41</v>
      </c>
    </row>
    <row r="25" spans="1:14" s="95" customFormat="1" ht="15.75" thickBot="1">
      <c r="A25" s="97" t="s">
        <v>55</v>
      </c>
      <c r="B25" s="96">
        <f>B24+B20+B16+B12</f>
        <v>786.04</v>
      </c>
      <c r="C25" s="96"/>
      <c r="D25" s="127">
        <f>D24+D20+D16+D12+D8</f>
        <v>995440.82239999995</v>
      </c>
      <c r="E25" s="96">
        <f>E24+E20+E16+E12</f>
        <v>995000</v>
      </c>
      <c r="F25" s="120">
        <f>F24+F20+F16+F12</f>
        <v>852</v>
      </c>
      <c r="G25" s="121"/>
      <c r="H25" s="121">
        <f>H24+H20+H16+H12</f>
        <v>25922.02</v>
      </c>
      <c r="I25" s="122">
        <f>I24+I20+I16+I12</f>
        <v>25922.02</v>
      </c>
      <c r="J25" s="120">
        <f>J24+J20+J16+J12</f>
        <v>58869</v>
      </c>
      <c r="K25" s="121"/>
      <c r="L25" s="121">
        <f>L24+L20+L16+L12</f>
        <v>65955.12</v>
      </c>
      <c r="M25" s="122">
        <f>M24+M20+M16+M12</f>
        <v>65688</v>
      </c>
    </row>
    <row r="26" spans="1:14" ht="18.75">
      <c r="A26" s="116" t="s">
        <v>56</v>
      </c>
      <c r="D26" s="117"/>
      <c r="E26" s="124">
        <f>D25-E25</f>
        <v>440.82239999994636</v>
      </c>
      <c r="F26" s="117"/>
      <c r="G26" s="117"/>
      <c r="H26" s="117"/>
      <c r="I26" s="117">
        <f>H25-I25</f>
        <v>0</v>
      </c>
      <c r="J26" s="117"/>
      <c r="K26" s="117"/>
      <c r="L26" s="117"/>
      <c r="M26" s="117">
        <f>L25-M25</f>
        <v>267.11999999999534</v>
      </c>
    </row>
    <row r="28" spans="1:14">
      <c r="A28" s="119" t="s">
        <v>64</v>
      </c>
      <c r="B28" t="s">
        <v>57</v>
      </c>
    </row>
  </sheetData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topLeftCell="A4" workbookViewId="0">
      <selection activeCell="E21" sqref="E21:E23"/>
    </sheetView>
  </sheetViews>
  <sheetFormatPr defaultRowHeight="12.75"/>
  <cols>
    <col min="1" max="1" width="17.140625" customWidth="1"/>
    <col min="3" max="3" width="8.5703125" customWidth="1"/>
    <col min="4" max="5" width="11.28515625" customWidth="1"/>
    <col min="6" max="6" width="5.85546875" customWidth="1"/>
    <col min="7" max="7" width="6.28515625" customWidth="1"/>
    <col min="9" max="9" width="10.28515625" customWidth="1"/>
    <col min="10" max="11" width="8" customWidth="1"/>
    <col min="12" max="12" width="12.28515625" customWidth="1"/>
    <col min="13" max="13" width="10.5703125" customWidth="1"/>
    <col min="14" max="14" width="14.85546875" customWidth="1"/>
  </cols>
  <sheetData>
    <row r="1" spans="1:14" ht="15.75">
      <c r="A1" s="6" t="s">
        <v>25</v>
      </c>
    </row>
    <row r="3" spans="1:14" ht="20.25">
      <c r="B3" s="118" t="s">
        <v>72</v>
      </c>
      <c r="J3" t="s">
        <v>125</v>
      </c>
    </row>
    <row r="4" spans="1:14" ht="13.5" thickBot="1">
      <c r="N4" t="s">
        <v>118</v>
      </c>
    </row>
    <row r="5" spans="1:14" ht="20.25">
      <c r="B5" s="103" t="s">
        <v>107</v>
      </c>
      <c r="C5" s="104"/>
      <c r="D5" s="104"/>
      <c r="E5" s="112"/>
      <c r="F5" s="103" t="s">
        <v>108</v>
      </c>
      <c r="G5" s="104"/>
      <c r="H5" s="104"/>
      <c r="I5" s="105"/>
      <c r="J5" s="103" t="s">
        <v>109</v>
      </c>
      <c r="K5" s="104"/>
      <c r="L5" s="113"/>
      <c r="M5" s="114"/>
      <c r="N5">
        <v>121976.85</v>
      </c>
    </row>
    <row r="6" spans="1:14" s="94" customFormat="1" ht="15">
      <c r="B6" s="106" t="s">
        <v>105</v>
      </c>
      <c r="C6" s="97"/>
      <c r="D6" s="97"/>
      <c r="E6" s="100"/>
      <c r="F6" s="106" t="s">
        <v>105</v>
      </c>
      <c r="G6" s="97"/>
      <c r="H6" s="97"/>
      <c r="I6" s="107"/>
      <c r="J6" s="106" t="s">
        <v>106</v>
      </c>
      <c r="K6" s="97"/>
      <c r="L6" s="97"/>
      <c r="M6" s="107"/>
      <c r="N6" s="119">
        <v>8741.83</v>
      </c>
    </row>
    <row r="7" spans="1:14">
      <c r="B7" s="108" t="s">
        <v>30</v>
      </c>
      <c r="C7" s="98" t="s">
        <v>31</v>
      </c>
      <c r="D7" s="98" t="s">
        <v>11</v>
      </c>
      <c r="E7" s="101" t="s">
        <v>32</v>
      </c>
      <c r="F7" s="108" t="s">
        <v>34</v>
      </c>
      <c r="G7" s="98" t="s">
        <v>35</v>
      </c>
      <c r="H7" s="98" t="s">
        <v>11</v>
      </c>
      <c r="I7" s="109" t="s">
        <v>32</v>
      </c>
      <c r="J7" s="108" t="s">
        <v>19</v>
      </c>
      <c r="K7" s="98" t="s">
        <v>37</v>
      </c>
      <c r="L7" s="98" t="s">
        <v>11</v>
      </c>
      <c r="M7" s="109" t="s">
        <v>32</v>
      </c>
      <c r="N7">
        <v>191.39</v>
      </c>
    </row>
    <row r="8" spans="1:14">
      <c r="A8" s="102" t="s">
        <v>74</v>
      </c>
      <c r="B8" s="108"/>
      <c r="C8" s="98"/>
      <c r="D8" s="99">
        <v>440.82</v>
      </c>
      <c r="E8" s="101"/>
      <c r="F8" s="108"/>
      <c r="G8" s="98"/>
      <c r="H8" s="98"/>
      <c r="I8" s="109"/>
      <c r="J8" s="102" t="s">
        <v>73</v>
      </c>
      <c r="K8" s="98"/>
      <c r="L8" s="99">
        <v>262.64</v>
      </c>
      <c r="M8" s="109"/>
      <c r="N8">
        <v>56158.07</v>
      </c>
    </row>
    <row r="9" spans="1:14">
      <c r="A9" s="101" t="s">
        <v>38</v>
      </c>
      <c r="B9" s="108">
        <v>127.61</v>
      </c>
      <c r="C9" s="98">
        <v>1202.06</v>
      </c>
      <c r="D9" s="115">
        <f>B9*C9</f>
        <v>153394.87659999999</v>
      </c>
      <c r="E9" s="101">
        <v>0</v>
      </c>
      <c r="F9" s="108">
        <v>50</v>
      </c>
      <c r="G9" s="98">
        <v>31.74</v>
      </c>
      <c r="H9" s="98">
        <f>F9*G9</f>
        <v>1587</v>
      </c>
      <c r="I9" s="109">
        <v>1587</v>
      </c>
      <c r="J9" s="108">
        <v>8682</v>
      </c>
      <c r="K9" s="115">
        <f>L9/J9</f>
        <v>1.1396774936650542</v>
      </c>
      <c r="L9" s="98">
        <v>9894.68</v>
      </c>
      <c r="M9" s="109">
        <v>6500</v>
      </c>
      <c r="N9" s="128">
        <v>8780.84</v>
      </c>
    </row>
    <row r="10" spans="1:14">
      <c r="A10" s="101" t="s">
        <v>39</v>
      </c>
      <c r="B10" s="108">
        <v>112.88</v>
      </c>
      <c r="C10" s="98">
        <v>1202.06</v>
      </c>
      <c r="D10" s="115">
        <f>B10*C10</f>
        <v>135688.53279999999</v>
      </c>
      <c r="E10" s="101"/>
      <c r="F10" s="108">
        <v>63</v>
      </c>
      <c r="G10" s="98">
        <v>31.74</v>
      </c>
      <c r="H10" s="98">
        <v>1999.49</v>
      </c>
      <c r="I10" s="109">
        <v>1999.49</v>
      </c>
      <c r="J10" s="108">
        <v>9365</v>
      </c>
      <c r="K10" s="115">
        <v>1.1499999999999999</v>
      </c>
      <c r="L10" s="98">
        <v>10744.64</v>
      </c>
      <c r="M10" s="109">
        <v>6500</v>
      </c>
      <c r="N10" s="128">
        <v>9516.7800000000007</v>
      </c>
    </row>
    <row r="11" spans="1:14">
      <c r="A11" s="101" t="s">
        <v>40</v>
      </c>
      <c r="B11" s="108">
        <v>126.78</v>
      </c>
      <c r="C11" s="98">
        <v>1202.06</v>
      </c>
      <c r="D11" s="115">
        <f>B11*C11</f>
        <v>152397.16680000001</v>
      </c>
      <c r="E11" s="101">
        <v>240000</v>
      </c>
      <c r="F11" s="108">
        <v>72</v>
      </c>
      <c r="G11" s="98">
        <v>31.74</v>
      </c>
      <c r="H11" s="98">
        <v>2285.14</v>
      </c>
      <c r="I11" s="109">
        <v>2285.14</v>
      </c>
      <c r="J11" s="108">
        <v>8831</v>
      </c>
      <c r="K11" s="115">
        <f>L11/J11</f>
        <v>1.1628773638319556</v>
      </c>
      <c r="L11" s="98">
        <v>10269.370000000001</v>
      </c>
      <c r="M11" s="109">
        <v>6500</v>
      </c>
      <c r="N11" s="128">
        <v>1957.22</v>
      </c>
    </row>
    <row r="12" spans="1:14" ht="22.5" customHeight="1">
      <c r="A12" s="102" t="s">
        <v>41</v>
      </c>
      <c r="B12" s="110">
        <f>SUM(B9:B11)</f>
        <v>367.27</v>
      </c>
      <c r="C12" s="98"/>
      <c r="D12" s="125">
        <f>SUM(D9:D11)</f>
        <v>441480.57620000001</v>
      </c>
      <c r="E12" s="102">
        <f>SUM(E9:E11)</f>
        <v>240000</v>
      </c>
      <c r="F12" s="110">
        <f>SUM(F9:F11)</f>
        <v>185</v>
      </c>
      <c r="G12" s="99"/>
      <c r="H12" s="99">
        <f>SUM(H9:H11)</f>
        <v>5871.6299999999992</v>
      </c>
      <c r="I12" s="111">
        <f>SUM(I9:I11)</f>
        <v>5871.6299999999992</v>
      </c>
      <c r="J12" s="110">
        <f>SUM(J9:J11)</f>
        <v>26878</v>
      </c>
      <c r="K12" s="115"/>
      <c r="L12" s="99">
        <f>SUM(L9:L11)</f>
        <v>30908.690000000002</v>
      </c>
      <c r="M12" s="111">
        <f>SUM(M9:M11)</f>
        <v>19500</v>
      </c>
      <c r="N12" s="128">
        <v>50842.74</v>
      </c>
    </row>
    <row r="13" spans="1:14">
      <c r="A13" s="101" t="s">
        <v>43</v>
      </c>
      <c r="B13" s="108">
        <v>38.939</v>
      </c>
      <c r="C13" s="98">
        <v>1202.06</v>
      </c>
      <c r="D13" s="115">
        <f>B13*C13</f>
        <v>46807.014340000002</v>
      </c>
      <c r="E13" s="101">
        <v>120000</v>
      </c>
      <c r="F13" s="108">
        <v>62</v>
      </c>
      <c r="G13" s="98">
        <v>31.74</v>
      </c>
      <c r="H13" s="98">
        <v>1967.76</v>
      </c>
      <c r="I13" s="109">
        <v>1967.76</v>
      </c>
      <c r="J13" s="108">
        <v>8280</v>
      </c>
      <c r="K13" s="115">
        <f>L13/J13</f>
        <v>1.1908792270531401</v>
      </c>
      <c r="L13" s="98">
        <v>9860.48</v>
      </c>
      <c r="M13" s="109">
        <v>6500</v>
      </c>
      <c r="N13" s="128">
        <v>12773.27</v>
      </c>
    </row>
    <row r="14" spans="1:14">
      <c r="A14" s="101" t="s">
        <v>44</v>
      </c>
      <c r="B14" s="108"/>
      <c r="C14" s="98"/>
      <c r="D14" s="115"/>
      <c r="E14" s="101">
        <v>34000</v>
      </c>
      <c r="F14" s="108">
        <v>69</v>
      </c>
      <c r="G14" s="98">
        <v>31.74</v>
      </c>
      <c r="H14" s="98">
        <v>2189.92</v>
      </c>
      <c r="I14" s="109">
        <v>2189.92</v>
      </c>
      <c r="J14" s="108">
        <v>4519</v>
      </c>
      <c r="K14" s="115">
        <f>L14/J14</f>
        <v>1.1987961938481964</v>
      </c>
      <c r="L14" s="98">
        <v>5417.36</v>
      </c>
      <c r="M14" s="109">
        <v>6000</v>
      </c>
      <c r="N14" s="128">
        <v>515.79999999999995</v>
      </c>
    </row>
    <row r="15" spans="1:14">
      <c r="A15" s="101" t="s">
        <v>45</v>
      </c>
      <c r="B15" s="108"/>
      <c r="C15" s="98"/>
      <c r="D15" s="115"/>
      <c r="E15" s="101"/>
      <c r="F15" s="108">
        <v>94</v>
      </c>
      <c r="G15" s="98">
        <v>31.74</v>
      </c>
      <c r="H15" s="98">
        <v>2932.04</v>
      </c>
      <c r="I15" s="109">
        <v>2932.04</v>
      </c>
      <c r="J15" s="108">
        <v>2343</v>
      </c>
      <c r="K15" s="115">
        <v>1.2</v>
      </c>
      <c r="L15" s="98">
        <f>J15*K15</f>
        <v>2811.6</v>
      </c>
      <c r="M15" s="109">
        <v>4500</v>
      </c>
      <c r="N15" s="128">
        <v>119999.08</v>
      </c>
    </row>
    <row r="16" spans="1:14" s="95" customFormat="1" ht="23.25" customHeight="1">
      <c r="A16" s="102" t="s">
        <v>46</v>
      </c>
      <c r="B16" s="110">
        <f>SUM(B13:B15)</f>
        <v>38.939</v>
      </c>
      <c r="C16" s="99"/>
      <c r="D16" s="125">
        <f>SUM(D13:D15)</f>
        <v>46807.014340000002</v>
      </c>
      <c r="E16" s="102">
        <f>SUM(E13:E15)</f>
        <v>154000</v>
      </c>
      <c r="F16" s="110">
        <f>SUM(F13:F15)</f>
        <v>225</v>
      </c>
      <c r="G16" s="98"/>
      <c r="H16" s="99">
        <f>SUM(H13:H15)</f>
        <v>7089.72</v>
      </c>
      <c r="I16" s="111">
        <f>SUM(I13:I15)</f>
        <v>7089.72</v>
      </c>
      <c r="J16" s="110">
        <f>SUM(J13:J15)</f>
        <v>15142</v>
      </c>
      <c r="K16" s="115"/>
      <c r="L16" s="99">
        <f>SUM(L13:L15)</f>
        <v>18089.439999999999</v>
      </c>
      <c r="M16" s="111">
        <f>SUM(M13:M15)</f>
        <v>17000</v>
      </c>
      <c r="N16" s="119">
        <v>8819.7900000000009</v>
      </c>
    </row>
    <row r="17" spans="1:14">
      <c r="A17" s="101" t="s">
        <v>47</v>
      </c>
      <c r="B17" s="108"/>
      <c r="C17" s="98"/>
      <c r="D17" s="115"/>
      <c r="E17" s="101">
        <v>94730.08</v>
      </c>
      <c r="F17" s="108">
        <v>72</v>
      </c>
      <c r="G17" s="98">
        <v>31.74</v>
      </c>
      <c r="H17" s="98">
        <v>2216.48</v>
      </c>
      <c r="I17" s="109">
        <v>2216.48</v>
      </c>
      <c r="J17" s="108">
        <v>1514</v>
      </c>
      <c r="K17" s="115">
        <v>1.22</v>
      </c>
      <c r="L17" s="98">
        <f>J17*K17</f>
        <v>1847.08</v>
      </c>
      <c r="M17" s="109">
        <v>4000</v>
      </c>
      <c r="N17" s="128">
        <v>56862.61</v>
      </c>
    </row>
    <row r="18" spans="1:14">
      <c r="A18" s="101" t="s">
        <v>48</v>
      </c>
      <c r="B18" s="108"/>
      <c r="C18" s="98"/>
      <c r="D18" s="115"/>
      <c r="E18" s="101"/>
      <c r="F18" s="108">
        <v>47</v>
      </c>
      <c r="G18" s="98">
        <v>31.74</v>
      </c>
      <c r="H18" s="98">
        <v>1447.8</v>
      </c>
      <c r="I18" s="109">
        <v>1447.8</v>
      </c>
      <c r="J18" s="108">
        <v>600</v>
      </c>
      <c r="K18" s="115">
        <f>L18/J18</f>
        <v>1.2222333333333333</v>
      </c>
      <c r="L18" s="98">
        <v>733.34</v>
      </c>
      <c r="M18" s="109">
        <v>4000</v>
      </c>
      <c r="N18" s="128">
        <v>63831.5</v>
      </c>
    </row>
    <row r="19" spans="1:14">
      <c r="A19" s="101" t="s">
        <v>49</v>
      </c>
      <c r="B19" s="108"/>
      <c r="C19" s="98"/>
      <c r="D19" s="115"/>
      <c r="E19" s="101"/>
      <c r="F19" s="108">
        <v>46</v>
      </c>
      <c r="G19" s="98">
        <v>31.74</v>
      </c>
      <c r="H19" s="98">
        <v>1445.32</v>
      </c>
      <c r="I19" s="109">
        <v>1445.32</v>
      </c>
      <c r="J19" s="108">
        <v>2117</v>
      </c>
      <c r="K19" s="115">
        <f>L19/J19</f>
        <v>1.2388804912612188</v>
      </c>
      <c r="L19" s="98">
        <v>2622.71</v>
      </c>
      <c r="M19" s="109">
        <v>6000</v>
      </c>
      <c r="N19" s="128">
        <v>9105.7800000000007</v>
      </c>
    </row>
    <row r="20" spans="1:14" s="95" customFormat="1" ht="21.75" customHeight="1">
      <c r="A20" s="102" t="s">
        <v>50</v>
      </c>
      <c r="B20" s="110"/>
      <c r="C20" s="99" t="s">
        <v>156</v>
      </c>
      <c r="D20" s="125"/>
      <c r="E20" s="102">
        <f>SUM(E17:E19)</f>
        <v>94730.08</v>
      </c>
      <c r="F20" s="110">
        <f>SUM(F17:F19)</f>
        <v>165</v>
      </c>
      <c r="G20" s="99"/>
      <c r="H20" s="99">
        <f>SUM(H17:H19)</f>
        <v>5109.5999999999995</v>
      </c>
      <c r="I20" s="111">
        <f>SUM(I17:I19)</f>
        <v>5109.5999999999995</v>
      </c>
      <c r="J20" s="110">
        <f>SUM(J17:J19)</f>
        <v>4231</v>
      </c>
      <c r="K20" s="99"/>
      <c r="L20" s="99">
        <f>SUM(L17:L19)</f>
        <v>5203.13</v>
      </c>
      <c r="M20" s="111">
        <f>SUM(M17:M19)</f>
        <v>14000</v>
      </c>
      <c r="N20" s="119">
        <v>3601.25</v>
      </c>
    </row>
    <row r="21" spans="1:14">
      <c r="A21" s="101" t="s">
        <v>51</v>
      </c>
      <c r="B21" s="108">
        <v>33.770000000000003</v>
      </c>
      <c r="C21" s="98">
        <v>1198.8599999999999</v>
      </c>
      <c r="D21" s="115">
        <f>B21*C21</f>
        <v>40485.502200000003</v>
      </c>
      <c r="E21" s="101">
        <v>59271.64</v>
      </c>
      <c r="F21" s="108">
        <v>92</v>
      </c>
      <c r="G21" s="98">
        <v>31.74</v>
      </c>
      <c r="H21" s="98">
        <v>2964.92</v>
      </c>
      <c r="I21" s="109">
        <v>2964.92</v>
      </c>
      <c r="J21" s="108">
        <v>6486</v>
      </c>
      <c r="K21" s="115">
        <f>L21/J21</f>
        <v>1.2388791242676533</v>
      </c>
      <c r="L21" s="98">
        <v>8035.37</v>
      </c>
      <c r="M21" s="109">
        <v>11999.27</v>
      </c>
      <c r="N21" s="128">
        <v>1578.64</v>
      </c>
    </row>
    <row r="22" spans="1:14">
      <c r="A22" s="101" t="s">
        <v>52</v>
      </c>
      <c r="B22" s="108">
        <v>64.81</v>
      </c>
      <c r="C22" s="98">
        <v>1198.8599999999999</v>
      </c>
      <c r="D22" s="115">
        <f>B22*C22</f>
        <v>77698.116599999994</v>
      </c>
      <c r="E22" s="101">
        <v>128949.38</v>
      </c>
      <c r="F22" s="108">
        <v>60</v>
      </c>
      <c r="G22" s="98">
        <v>31.74</v>
      </c>
      <c r="H22" s="98">
        <v>1889.65</v>
      </c>
      <c r="I22" s="109">
        <v>1889.65</v>
      </c>
      <c r="J22" s="108">
        <v>8980</v>
      </c>
      <c r="K22" s="115">
        <v>1.24</v>
      </c>
      <c r="L22" s="98">
        <v>11125.14</v>
      </c>
      <c r="M22" s="109">
        <v>11125.14</v>
      </c>
      <c r="N22" s="128">
        <v>4001.4</v>
      </c>
    </row>
    <row r="23" spans="1:14">
      <c r="A23" s="101" t="s">
        <v>53</v>
      </c>
      <c r="B23" s="108">
        <v>112.07</v>
      </c>
      <c r="C23" s="98">
        <v>1198.8599999999999</v>
      </c>
      <c r="D23" s="115">
        <f>B23*C23</f>
        <v>134356.24019999997</v>
      </c>
      <c r="E23" s="101">
        <v>161779.9</v>
      </c>
      <c r="F23" s="108">
        <v>115</v>
      </c>
      <c r="G23" s="98">
        <v>31.74</v>
      </c>
      <c r="H23" s="98">
        <v>3649.87</v>
      </c>
      <c r="I23" s="109">
        <v>3649.87</v>
      </c>
      <c r="J23" s="108">
        <v>12900</v>
      </c>
      <c r="K23" s="115">
        <f>L23/J23</f>
        <v>1.2388790697674419</v>
      </c>
      <c r="L23" s="98">
        <v>15981.54</v>
      </c>
      <c r="M23" s="109">
        <v>15981.54</v>
      </c>
      <c r="N23" s="128">
        <v>40578.230000000003</v>
      </c>
    </row>
    <row r="24" spans="1:14" s="95" customFormat="1" ht="21" customHeight="1" thickBot="1">
      <c r="A24" s="102" t="s">
        <v>54</v>
      </c>
      <c r="B24" s="120">
        <f>SUM(B21:B23)</f>
        <v>210.65</v>
      </c>
      <c r="C24" s="121"/>
      <c r="D24" s="126">
        <f>SUM(D21:D23)</f>
        <v>252539.85899999997</v>
      </c>
      <c r="E24" s="123">
        <f>SUM(E21:E23)</f>
        <v>350000.92000000004</v>
      </c>
      <c r="F24" s="110">
        <f>SUM(F21:F23)</f>
        <v>267</v>
      </c>
      <c r="G24" s="99"/>
      <c r="H24" s="99">
        <f>SUM(H21:H23)</f>
        <v>8504.4399999999987</v>
      </c>
      <c r="I24" s="111">
        <f>SUM(I21:I23)</f>
        <v>8504.4399999999987</v>
      </c>
      <c r="J24" s="110">
        <f>SUM(J21:J23)</f>
        <v>28366</v>
      </c>
      <c r="K24" s="99"/>
      <c r="L24" s="99">
        <f>SUM(L21:L23)</f>
        <v>35142.050000000003</v>
      </c>
      <c r="M24" s="111">
        <f>SUM(M21:M23)</f>
        <v>39105.949999999997</v>
      </c>
      <c r="N24" s="119">
        <v>884.67</v>
      </c>
    </row>
    <row r="25" spans="1:14" s="95" customFormat="1" ht="15.75" thickBot="1">
      <c r="A25" s="97" t="s">
        <v>55</v>
      </c>
      <c r="B25" s="96">
        <f>B24+B20+B16+B12</f>
        <v>616.85899999999992</v>
      </c>
      <c r="C25" s="96"/>
      <c r="D25" s="127">
        <f>D24+D20+D16+D12+D8</f>
        <v>741268.26953999989</v>
      </c>
      <c r="E25" s="96">
        <f>E24+E20+E16+E12</f>
        <v>838731</v>
      </c>
      <c r="F25" s="120">
        <f>F24+F20+F16+F12</f>
        <v>842</v>
      </c>
      <c r="G25" s="121"/>
      <c r="H25" s="121">
        <f>H24+H20+H16+H12</f>
        <v>26575.39</v>
      </c>
      <c r="I25" s="122">
        <f>I24+I20+I16+I12</f>
        <v>26575.39</v>
      </c>
      <c r="J25" s="120">
        <f>J24+J20+J16+J12</f>
        <v>74617</v>
      </c>
      <c r="K25" s="121"/>
      <c r="L25" s="121">
        <f>L24+L20+L16+L12+L8</f>
        <v>89605.95</v>
      </c>
      <c r="M25" s="122">
        <f>M24+M20+M16+M12</f>
        <v>89605.95</v>
      </c>
      <c r="N25" s="119">
        <v>14712.21</v>
      </c>
    </row>
    <row r="26" spans="1:14" ht="18.75">
      <c r="A26" s="116" t="s">
        <v>56</v>
      </c>
      <c r="D26" s="117"/>
      <c r="E26" s="124">
        <f>D25-E25</f>
        <v>-97462.730460000108</v>
      </c>
      <c r="F26" s="117"/>
      <c r="G26" s="117"/>
      <c r="H26" s="117"/>
      <c r="I26" s="117">
        <f>H25-I25</f>
        <v>0</v>
      </c>
      <c r="J26" s="117"/>
      <c r="K26" s="117"/>
      <c r="L26" s="117"/>
      <c r="M26" s="117">
        <f>L25-M25</f>
        <v>0</v>
      </c>
      <c r="N26" s="128">
        <v>103218.72</v>
      </c>
    </row>
    <row r="27" spans="1:14">
      <c r="D27" s="148" t="s">
        <v>123</v>
      </c>
      <c r="E27" s="148">
        <v>97462.73</v>
      </c>
      <c r="F27" s="148" t="s">
        <v>124</v>
      </c>
      <c r="G27" s="148">
        <f>E27/C23</f>
        <v>81.296173031046166</v>
      </c>
      <c r="N27" s="128">
        <v>28620.28</v>
      </c>
    </row>
    <row r="28" spans="1:14">
      <c r="E28" s="147"/>
      <c r="N28" s="128">
        <v>13274.02</v>
      </c>
    </row>
    <row r="29" spans="1:14">
      <c r="N29" s="128">
        <v>1041.6199999999999</v>
      </c>
    </row>
    <row r="30" spans="1:14">
      <c r="N30" s="128">
        <v>45578.879999999997</v>
      </c>
    </row>
    <row r="31" spans="1:14">
      <c r="N31" s="128">
        <v>14418.85</v>
      </c>
    </row>
    <row r="32" spans="1:14">
      <c r="N32" s="128">
        <v>94340.88</v>
      </c>
    </row>
    <row r="33" spans="14:14">
      <c r="N33" s="128">
        <v>33675.07</v>
      </c>
    </row>
    <row r="34" spans="14:14">
      <c r="N34" s="128">
        <v>66961.960000000006</v>
      </c>
    </row>
    <row r="35" spans="14:14">
      <c r="N35" s="128">
        <v>12335.66</v>
      </c>
    </row>
    <row r="36" spans="14:14">
      <c r="N36" s="128">
        <v>3007.28</v>
      </c>
    </row>
    <row r="37" spans="14:14">
      <c r="N37" s="128">
        <v>76038.98</v>
      </c>
    </row>
    <row r="38" spans="14:14">
      <c r="N38" s="128">
        <v>15823.43</v>
      </c>
    </row>
    <row r="39" spans="14:14">
      <c r="N39" s="128">
        <v>6771.33</v>
      </c>
    </row>
    <row r="40" spans="14:14">
      <c r="N40" s="128">
        <v>55669</v>
      </c>
    </row>
    <row r="41" spans="14:14">
      <c r="N41" s="128">
        <v>68741.87</v>
      </c>
    </row>
    <row r="42" spans="14:14">
      <c r="N42" s="128">
        <v>8861.3700000000008</v>
      </c>
    </row>
    <row r="43" spans="14:14">
      <c r="N43" s="128">
        <v>43462.53</v>
      </c>
    </row>
    <row r="44" spans="14:14">
      <c r="N44" s="128">
        <v>12026.17</v>
      </c>
    </row>
    <row r="45" spans="14:14">
      <c r="N45" s="128">
        <v>52700.41</v>
      </c>
    </row>
    <row r="46" spans="14:14">
      <c r="N46" s="128">
        <v>15022.62</v>
      </c>
    </row>
    <row r="47" spans="14:14">
      <c r="N47" s="128">
        <v>8861.3700000000008</v>
      </c>
    </row>
    <row r="48" spans="14:14">
      <c r="N48" s="128">
        <v>185.81</v>
      </c>
    </row>
    <row r="49" spans="13:15">
      <c r="N49" s="128">
        <v>1349.52</v>
      </c>
    </row>
    <row r="50" spans="13:15">
      <c r="N50" s="128">
        <v>46245.3</v>
      </c>
    </row>
    <row r="51" spans="13:15">
      <c r="N51" s="128">
        <v>12143.46</v>
      </c>
    </row>
    <row r="52" spans="13:15">
      <c r="N52" s="128">
        <v>51652.62</v>
      </c>
    </row>
    <row r="53" spans="13:15">
      <c r="N53" s="128">
        <v>15371.24</v>
      </c>
    </row>
    <row r="54" spans="13:15">
      <c r="N54" s="128">
        <v>8861.3700000000008</v>
      </c>
    </row>
    <row r="55" spans="13:15" ht="15">
      <c r="M55" s="94" t="s">
        <v>88</v>
      </c>
      <c r="N55" s="94">
        <f>SUM(N5:N54)</f>
        <v>1511691.5700000003</v>
      </c>
      <c r="O55" s="119" t="s">
        <v>119</v>
      </c>
    </row>
    <row r="56" spans="13:15">
      <c r="N56" s="128">
        <v>4324</v>
      </c>
      <c r="O56" s="119" t="s">
        <v>120</v>
      </c>
    </row>
    <row r="57" spans="13:15" ht="20.25">
      <c r="M57" s="130" t="s">
        <v>121</v>
      </c>
      <c r="N57" s="130">
        <f>SUM(N55:N56)</f>
        <v>1516015.5700000003</v>
      </c>
    </row>
    <row r="58" spans="13:15">
      <c r="M58" s="119" t="s">
        <v>122</v>
      </c>
      <c r="N58" s="146">
        <f>N57*0.15/100</f>
        <v>2274.0233550000003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4"/>
  <sheetViews>
    <sheetView topLeftCell="A7" workbookViewId="0">
      <selection activeCell="J31" sqref="J31"/>
    </sheetView>
  </sheetViews>
  <sheetFormatPr defaultRowHeight="12.75"/>
  <cols>
    <col min="1" max="1" width="15.7109375" customWidth="1"/>
    <col min="4" max="4" width="11.7109375" customWidth="1"/>
    <col min="5" max="5" width="10.42578125" customWidth="1"/>
    <col min="6" max="6" width="6" customWidth="1"/>
    <col min="7" max="7" width="7" customWidth="1"/>
    <col min="8" max="8" width="9.85546875" customWidth="1"/>
    <col min="9" max="9" width="12.85546875" customWidth="1"/>
    <col min="10" max="10" width="7.7109375" customWidth="1"/>
    <col min="11" max="11" width="6.140625" customWidth="1"/>
    <col min="12" max="12" width="13.140625" customWidth="1"/>
    <col min="13" max="13" width="15" customWidth="1"/>
  </cols>
  <sheetData>
    <row r="2" spans="1:13" ht="15.75">
      <c r="A2" s="6" t="s">
        <v>25</v>
      </c>
    </row>
    <row r="4" spans="1:13" ht="20.25">
      <c r="B4" s="118" t="s">
        <v>126</v>
      </c>
      <c r="J4" s="154" t="s">
        <v>153</v>
      </c>
    </row>
    <row r="5" spans="1:13" ht="13.5" thickBot="1">
      <c r="F5" t="s">
        <v>133</v>
      </c>
      <c r="G5" t="s">
        <v>132</v>
      </c>
    </row>
    <row r="6" spans="1:13" ht="20.25">
      <c r="B6" s="103" t="s">
        <v>107</v>
      </c>
      <c r="C6" s="104"/>
      <c r="D6" s="104"/>
      <c r="E6" s="112"/>
      <c r="F6" s="248" t="s">
        <v>108</v>
      </c>
      <c r="G6" s="249"/>
      <c r="H6" s="249"/>
      <c r="I6" s="250"/>
      <c r="J6" s="248" t="s">
        <v>109</v>
      </c>
      <c r="K6" s="249"/>
      <c r="L6" s="249"/>
      <c r="M6" s="250"/>
    </row>
    <row r="7" spans="1:13" ht="15">
      <c r="A7" s="94"/>
      <c r="B7" s="106" t="s">
        <v>127</v>
      </c>
      <c r="C7" s="97"/>
      <c r="D7" s="97"/>
      <c r="E7" s="150"/>
      <c r="F7" s="106" t="s">
        <v>127</v>
      </c>
      <c r="G7" s="97"/>
      <c r="H7" s="97"/>
      <c r="I7" s="100"/>
      <c r="J7" s="106" t="s">
        <v>128</v>
      </c>
      <c r="K7" s="97"/>
      <c r="L7" s="97"/>
      <c r="M7" s="107"/>
    </row>
    <row r="8" spans="1:13">
      <c r="B8" s="108" t="s">
        <v>30</v>
      </c>
      <c r="C8" s="98" t="s">
        <v>31</v>
      </c>
      <c r="D8" s="98" t="s">
        <v>11</v>
      </c>
      <c r="E8" s="150" t="s">
        <v>32</v>
      </c>
      <c r="F8" s="108" t="s">
        <v>34</v>
      </c>
      <c r="G8" s="98" t="s">
        <v>35</v>
      </c>
      <c r="H8" s="98" t="s">
        <v>11</v>
      </c>
      <c r="I8" s="101" t="s">
        <v>32</v>
      </c>
      <c r="J8" s="108" t="s">
        <v>19</v>
      </c>
      <c r="K8" s="98" t="s">
        <v>37</v>
      </c>
      <c r="L8" s="98" t="s">
        <v>11</v>
      </c>
      <c r="M8" s="109" t="s">
        <v>32</v>
      </c>
    </row>
    <row r="9" spans="1:13">
      <c r="A9" s="102" t="s">
        <v>129</v>
      </c>
      <c r="B9" s="108"/>
      <c r="C9" s="98"/>
      <c r="D9" s="99"/>
      <c r="E9" s="150">
        <v>97461.06</v>
      </c>
      <c r="F9" s="108"/>
      <c r="G9" s="98"/>
      <c r="H9" s="98"/>
      <c r="I9" s="101"/>
      <c r="J9" s="110"/>
      <c r="K9" s="98"/>
      <c r="L9" s="99">
        <v>0</v>
      </c>
      <c r="M9" s="109"/>
    </row>
    <row r="10" spans="1:13">
      <c r="A10" s="101" t="s">
        <v>38</v>
      </c>
      <c r="B10" s="108">
        <v>128.19</v>
      </c>
      <c r="C10" s="98">
        <v>1198.8599999999999</v>
      </c>
      <c r="D10" s="115">
        <f>B10*C10</f>
        <v>153681.86339999997</v>
      </c>
      <c r="E10" s="150">
        <v>0</v>
      </c>
      <c r="F10" s="108">
        <v>42</v>
      </c>
      <c r="G10" s="98">
        <v>31.74</v>
      </c>
      <c r="H10" s="98">
        <v>1332.94</v>
      </c>
      <c r="I10" s="101"/>
      <c r="J10" s="108">
        <v>3335</v>
      </c>
      <c r="K10" s="115">
        <v>1.24</v>
      </c>
      <c r="L10" s="131">
        <v>4135.3999999999996</v>
      </c>
      <c r="M10" s="109"/>
    </row>
    <row r="11" spans="1:13">
      <c r="A11" s="101" t="s">
        <v>39</v>
      </c>
      <c r="B11" s="108">
        <v>100.37</v>
      </c>
      <c r="C11" s="98">
        <v>1198.8599999999999</v>
      </c>
      <c r="D11" s="115">
        <f>B11*C11</f>
        <v>120329.57819999999</v>
      </c>
      <c r="E11" s="150"/>
      <c r="F11" s="108">
        <v>46</v>
      </c>
      <c r="G11" s="98">
        <v>31.74</v>
      </c>
      <c r="H11" s="98">
        <v>1460</v>
      </c>
      <c r="I11" s="101">
        <v>2792.94</v>
      </c>
      <c r="J11" s="108">
        <v>9382</v>
      </c>
      <c r="K11" s="115">
        <v>1.24</v>
      </c>
      <c r="L11" s="131">
        <v>11633.68</v>
      </c>
      <c r="M11" s="109">
        <v>15000</v>
      </c>
    </row>
    <row r="12" spans="1:13">
      <c r="A12" s="101" t="s">
        <v>134</v>
      </c>
      <c r="B12" s="108">
        <v>47.01</v>
      </c>
      <c r="C12" s="98">
        <v>1198.8599999999999</v>
      </c>
      <c r="D12" s="115">
        <v>56357.83</v>
      </c>
      <c r="E12" s="150">
        <v>228868.63</v>
      </c>
      <c r="F12" s="108">
        <v>83</v>
      </c>
      <c r="G12" s="98">
        <v>31.74</v>
      </c>
      <c r="H12" s="98">
        <v>2634.25</v>
      </c>
      <c r="I12" s="101">
        <v>2634.25</v>
      </c>
      <c r="J12" s="108">
        <v>8837</v>
      </c>
      <c r="K12" s="115">
        <v>1.24</v>
      </c>
      <c r="L12" s="131">
        <v>10957.88</v>
      </c>
      <c r="M12" s="150">
        <v>11500</v>
      </c>
    </row>
    <row r="13" spans="1:13">
      <c r="A13" s="102" t="s">
        <v>41</v>
      </c>
      <c r="B13" s="110">
        <f>SUM(B10:B12)</f>
        <v>275.57</v>
      </c>
      <c r="C13" s="98"/>
      <c r="D13" s="125">
        <f>SUM(D10:D12)</f>
        <v>330369.27159999998</v>
      </c>
      <c r="E13" s="151">
        <f>SUM(E10:E12)</f>
        <v>228868.63</v>
      </c>
      <c r="F13" s="110">
        <f>SUM(F10:F12)</f>
        <v>171</v>
      </c>
      <c r="G13" s="99"/>
      <c r="H13" s="99">
        <f>SUM(H10:H12)</f>
        <v>5427.1900000000005</v>
      </c>
      <c r="I13" s="102">
        <f>SUM(I10:I12)</f>
        <v>5427.1900000000005</v>
      </c>
      <c r="J13" s="110">
        <f>SUM(J10:J12)</f>
        <v>21554</v>
      </c>
      <c r="K13" s="115"/>
      <c r="L13" s="99">
        <f>SUM(L10:L12)</f>
        <v>26726.959999999999</v>
      </c>
      <c r="M13" s="111">
        <f>SUM(M10:M12)</f>
        <v>26500</v>
      </c>
    </row>
    <row r="14" spans="1:13">
      <c r="A14" s="101" t="s">
        <v>43</v>
      </c>
      <c r="B14" s="108"/>
      <c r="C14" s="98"/>
      <c r="D14" s="115">
        <f>B14*C14</f>
        <v>0</v>
      </c>
      <c r="E14" s="150"/>
      <c r="F14" s="108">
        <v>85</v>
      </c>
      <c r="G14" s="98">
        <v>31.74</v>
      </c>
      <c r="H14" s="98">
        <v>2595.33</v>
      </c>
      <c r="I14" s="101">
        <v>2595.33</v>
      </c>
      <c r="J14" s="108">
        <v>7845</v>
      </c>
      <c r="K14" s="115">
        <f>L14/J14</f>
        <v>1.3407393244104526</v>
      </c>
      <c r="L14" s="155">
        <v>10518.1</v>
      </c>
      <c r="M14" s="109">
        <v>9000</v>
      </c>
    </row>
    <row r="15" spans="1:13">
      <c r="A15" s="101" t="s">
        <v>44</v>
      </c>
      <c r="B15" s="108"/>
      <c r="C15" s="98"/>
      <c r="D15" s="115"/>
      <c r="E15" s="150"/>
      <c r="F15" s="108">
        <v>78</v>
      </c>
      <c r="G15" s="98">
        <v>31.74</v>
      </c>
      <c r="H15" s="98">
        <v>2417.0500000000002</v>
      </c>
      <c r="I15" s="101">
        <v>2417.0500000000002</v>
      </c>
      <c r="J15" s="108">
        <v>7344</v>
      </c>
      <c r="K15" s="115">
        <f>L15/J15</f>
        <v>1.2544553376906318</v>
      </c>
      <c r="L15" s="155">
        <v>9212.7199999999993</v>
      </c>
      <c r="M15" s="109">
        <v>10000</v>
      </c>
    </row>
    <row r="16" spans="1:13">
      <c r="A16" s="101" t="s">
        <v>45</v>
      </c>
      <c r="B16" s="108"/>
      <c r="C16" s="98"/>
      <c r="D16" s="115"/>
      <c r="E16" s="150"/>
      <c r="F16" s="108">
        <v>85</v>
      </c>
      <c r="G16" s="98">
        <v>31.74</v>
      </c>
      <c r="H16" s="98">
        <v>2629.29</v>
      </c>
      <c r="I16" s="101">
        <v>2629.29</v>
      </c>
      <c r="J16" s="108">
        <v>2308</v>
      </c>
      <c r="K16" s="115">
        <f>L16/J16</f>
        <v>1.3075389948006932</v>
      </c>
      <c r="L16" s="155">
        <v>3017.8</v>
      </c>
      <c r="M16" s="109">
        <v>3975.58</v>
      </c>
    </row>
    <row r="17" spans="1:14">
      <c r="A17" s="102" t="s">
        <v>46</v>
      </c>
      <c r="B17" s="110">
        <f>SUM(B14:B16)</f>
        <v>0</v>
      </c>
      <c r="C17" s="99"/>
      <c r="D17" s="125">
        <f>SUM(D14:D16)</f>
        <v>0</v>
      </c>
      <c r="E17" s="151">
        <f>SUM(E14:E16)</f>
        <v>0</v>
      </c>
      <c r="F17" s="110">
        <f>SUM(F14:F16)</f>
        <v>248</v>
      </c>
      <c r="G17" s="98"/>
      <c r="H17" s="99">
        <f>SUM(H14:H16)</f>
        <v>7641.67</v>
      </c>
      <c r="I17" s="102">
        <f>SUM(I14:I16)</f>
        <v>7641.67</v>
      </c>
      <c r="J17" s="110">
        <f>SUM(J14:J16)</f>
        <v>17497</v>
      </c>
      <c r="K17" s="115"/>
      <c r="L17" s="99">
        <f>SUM(L14:L16)</f>
        <v>22748.62</v>
      </c>
      <c r="M17" s="111">
        <f>SUM(M14:M16)</f>
        <v>22975.58</v>
      </c>
    </row>
    <row r="18" spans="1:14">
      <c r="A18" s="101" t="s">
        <v>47</v>
      </c>
      <c r="B18" s="108"/>
      <c r="C18" s="98"/>
      <c r="D18" s="115"/>
      <c r="E18" s="150"/>
      <c r="F18" s="108">
        <v>43</v>
      </c>
      <c r="G18" s="98">
        <v>31.74</v>
      </c>
      <c r="H18" s="98">
        <v>1364.73</v>
      </c>
      <c r="I18" s="101">
        <v>1364.73</v>
      </c>
      <c r="J18" s="108">
        <v>3100</v>
      </c>
      <c r="K18" s="115">
        <v>1.39</v>
      </c>
      <c r="L18" s="155">
        <v>4281.63</v>
      </c>
      <c r="M18" s="109">
        <v>4281.63</v>
      </c>
    </row>
    <row r="19" spans="1:14">
      <c r="A19" s="101" t="s">
        <v>48</v>
      </c>
      <c r="B19" s="108"/>
      <c r="C19" s="98"/>
      <c r="D19" s="115"/>
      <c r="E19" s="150"/>
      <c r="F19" s="108">
        <v>38</v>
      </c>
      <c r="G19" s="98">
        <v>31.74</v>
      </c>
      <c r="H19" s="98">
        <v>1206.04</v>
      </c>
      <c r="I19" s="101">
        <v>1206.04</v>
      </c>
      <c r="J19" s="108">
        <v>3700</v>
      </c>
      <c r="K19" s="115">
        <f>L19/J19</f>
        <v>1.4233216216216216</v>
      </c>
      <c r="L19" s="155">
        <v>5266.29</v>
      </c>
      <c r="M19" s="109">
        <v>5266.29</v>
      </c>
    </row>
    <row r="20" spans="1:14">
      <c r="A20" s="101" t="s">
        <v>49</v>
      </c>
      <c r="B20" s="108"/>
      <c r="C20" s="98"/>
      <c r="D20" s="115"/>
      <c r="E20" s="150">
        <v>4039.58</v>
      </c>
      <c r="F20" s="108">
        <v>104</v>
      </c>
      <c r="G20" s="98">
        <v>31.74</v>
      </c>
      <c r="H20" s="98">
        <v>3300.75</v>
      </c>
      <c r="I20" s="101">
        <v>3300.75</v>
      </c>
      <c r="J20" s="108">
        <v>6700</v>
      </c>
      <c r="K20" s="115">
        <f>L20/J20</f>
        <v>1.4802</v>
      </c>
      <c r="L20" s="155">
        <v>9917.34</v>
      </c>
      <c r="M20" s="109">
        <v>9917.34</v>
      </c>
    </row>
    <row r="21" spans="1:14">
      <c r="A21" s="102" t="s">
        <v>50</v>
      </c>
      <c r="B21" s="110"/>
      <c r="C21" s="99"/>
      <c r="D21" s="125"/>
      <c r="E21" s="151">
        <f>SUM(E18:E20)</f>
        <v>4039.58</v>
      </c>
      <c r="F21" s="110">
        <f>SUM(F18:F20)</f>
        <v>185</v>
      </c>
      <c r="G21" s="99"/>
      <c r="H21" s="99">
        <f>SUM(H18:H20)</f>
        <v>5871.52</v>
      </c>
      <c r="I21" s="102">
        <f>SUM(I18:I20)</f>
        <v>5871.52</v>
      </c>
      <c r="J21" s="110">
        <f>SUM(J18:J20)</f>
        <v>13500</v>
      </c>
      <c r="K21" s="99"/>
      <c r="L21" s="99">
        <f>SUM(L18:L20)</f>
        <v>19465.260000000002</v>
      </c>
      <c r="M21" s="111">
        <f>SUM(M18:M20)</f>
        <v>19465.260000000002</v>
      </c>
      <c r="N21" s="176">
        <f>M13+M17+M21</f>
        <v>68940.84</v>
      </c>
    </row>
    <row r="22" spans="1:14">
      <c r="A22" s="101" t="s">
        <v>51</v>
      </c>
      <c r="B22" s="108">
        <v>10.07</v>
      </c>
      <c r="C22" s="98">
        <v>1198.8599999999999</v>
      </c>
      <c r="D22" s="115">
        <f>B22*C22</f>
        <v>12072.520199999999</v>
      </c>
      <c r="E22" s="150">
        <v>73933.7</v>
      </c>
      <c r="F22" s="108">
        <v>102</v>
      </c>
      <c r="G22" s="98">
        <v>31.74</v>
      </c>
      <c r="H22" s="98">
        <v>3170.84</v>
      </c>
      <c r="I22" s="101">
        <v>3170.84</v>
      </c>
      <c r="J22" s="108">
        <v>6300</v>
      </c>
      <c r="K22" s="115">
        <f>L22/J22</f>
        <v>1.4802</v>
      </c>
      <c r="L22" s="155">
        <v>9325.26</v>
      </c>
      <c r="M22" s="109">
        <v>9325.26</v>
      </c>
    </row>
    <row r="23" spans="1:14">
      <c r="A23" s="101" t="s">
        <v>52</v>
      </c>
      <c r="B23" s="108">
        <v>79.25</v>
      </c>
      <c r="C23" s="98">
        <v>1198.8599999999999</v>
      </c>
      <c r="D23" s="115">
        <f>B23*C23</f>
        <v>95009.654999999999</v>
      </c>
      <c r="E23" s="150">
        <v>74958.09</v>
      </c>
      <c r="F23" s="108">
        <v>129</v>
      </c>
      <c r="G23" s="98">
        <v>31.74</v>
      </c>
      <c r="H23" s="98">
        <v>4094.2</v>
      </c>
      <c r="I23" s="101">
        <v>4094.2</v>
      </c>
      <c r="J23" s="108">
        <v>7700</v>
      </c>
      <c r="K23" s="115">
        <v>1.48</v>
      </c>
      <c r="L23" s="155">
        <v>11397.54</v>
      </c>
      <c r="M23" s="109">
        <v>11397.54</v>
      </c>
    </row>
    <row r="24" spans="1:14">
      <c r="A24" s="101" t="s">
        <v>53</v>
      </c>
      <c r="B24" s="108">
        <v>117.11</v>
      </c>
      <c r="C24" s="98">
        <v>1198.8599999999999</v>
      </c>
      <c r="D24" s="115">
        <f>B24*C24</f>
        <v>140398.49459999998</v>
      </c>
      <c r="E24" s="150">
        <v>99000</v>
      </c>
      <c r="F24" s="108">
        <v>117</v>
      </c>
      <c r="G24" s="98">
        <v>31.74</v>
      </c>
      <c r="H24" s="98">
        <f>F24*G24</f>
        <v>3713.58</v>
      </c>
      <c r="I24" s="101">
        <v>3713.58</v>
      </c>
      <c r="J24" s="108">
        <v>8100</v>
      </c>
      <c r="K24" s="115">
        <v>1.51</v>
      </c>
      <c r="L24" s="155">
        <v>12229.7</v>
      </c>
      <c r="M24" s="109">
        <v>12229.7</v>
      </c>
    </row>
    <row r="25" spans="1:14" ht="13.5" thickBot="1">
      <c r="A25" s="102" t="s">
        <v>54</v>
      </c>
      <c r="B25" s="120">
        <f>SUM(B22:B24)</f>
        <v>206.43</v>
      </c>
      <c r="C25" s="121"/>
      <c r="D25" s="126">
        <f>SUM(D22:D24)</f>
        <v>247480.66979999997</v>
      </c>
      <c r="E25" s="151">
        <f>SUM(E22:E24)</f>
        <v>247891.78999999998</v>
      </c>
      <c r="F25" s="110">
        <f>SUM(F22:F24)</f>
        <v>348</v>
      </c>
      <c r="G25" s="99"/>
      <c r="H25" s="99">
        <f>SUM(H22:H24)</f>
        <v>10978.619999999999</v>
      </c>
      <c r="I25" s="102">
        <f>SUM(I22:I24)</f>
        <v>10978.619999999999</v>
      </c>
      <c r="J25" s="110">
        <f>SUM(J22:J24)</f>
        <v>22100</v>
      </c>
      <c r="K25" s="99"/>
      <c r="L25" s="99">
        <f>SUM(L22:L24)</f>
        <v>32952.5</v>
      </c>
      <c r="M25" s="111">
        <f>SUM(M22:M24)</f>
        <v>32952.5</v>
      </c>
    </row>
    <row r="26" spans="1:14" ht="15.75" thickBot="1">
      <c r="A26" s="97" t="s">
        <v>55</v>
      </c>
      <c r="B26" s="96">
        <f>B25+B21+B17+B13</f>
        <v>482</v>
      </c>
      <c r="C26" s="96"/>
      <c r="D26" s="127">
        <f>D25+D21+D17+D13+D9</f>
        <v>577849.94139999989</v>
      </c>
      <c r="E26" s="151">
        <f>E25+E21+E17+E13+E9</f>
        <v>578261.06000000006</v>
      </c>
      <c r="F26" s="120">
        <f>F25+F21+F17+F13</f>
        <v>952</v>
      </c>
      <c r="G26" s="121"/>
      <c r="H26" s="121">
        <f>H25+H21+H17+H13</f>
        <v>29919</v>
      </c>
      <c r="I26" s="123">
        <f>I25+I21+I17+I13</f>
        <v>29919</v>
      </c>
      <c r="J26" s="120">
        <f>J25+J21+J17+J13</f>
        <v>74651</v>
      </c>
      <c r="K26" s="121"/>
      <c r="L26" s="121">
        <f>L25+L21+L17+L13+L9</f>
        <v>101893.34</v>
      </c>
      <c r="M26" s="122">
        <f>M25+M21+M17+M13</f>
        <v>101893.34</v>
      </c>
    </row>
    <row r="27" spans="1:14" ht="18.75">
      <c r="A27" s="116" t="s">
        <v>56</v>
      </c>
      <c r="D27" s="117"/>
      <c r="E27" s="153">
        <f>D26-E26</f>
        <v>-411.11860000016168</v>
      </c>
      <c r="F27" s="117"/>
      <c r="G27" s="117"/>
      <c r="H27" s="117"/>
      <c r="I27" s="117">
        <f>H26-I26</f>
        <v>0</v>
      </c>
      <c r="J27" s="117"/>
      <c r="K27" s="117"/>
      <c r="L27" s="117"/>
      <c r="M27" s="152">
        <f>L26-M26</f>
        <v>0</v>
      </c>
    </row>
    <row r="28" spans="1:14">
      <c r="B28" t="s">
        <v>130</v>
      </c>
      <c r="D28" s="148" t="s">
        <v>123</v>
      </c>
      <c r="E28" s="148">
        <v>97462.73</v>
      </c>
      <c r="F28" s="148" t="s">
        <v>124</v>
      </c>
      <c r="G28" s="149">
        <f>E28/C24</f>
        <v>81.296173031046166</v>
      </c>
    </row>
    <row r="30" spans="1:14" ht="15.75">
      <c r="A30" s="154" t="s">
        <v>154</v>
      </c>
      <c r="H30">
        <f>692.65*1198.86</f>
        <v>830390.37899999996</v>
      </c>
    </row>
    <row r="31" spans="1:14">
      <c r="A31" t="s">
        <v>155</v>
      </c>
      <c r="D31">
        <v>350000.92</v>
      </c>
    </row>
    <row r="32" spans="1:14">
      <c r="A32" t="s">
        <v>150</v>
      </c>
      <c r="D32">
        <f>E13+E21+E25</f>
        <v>480800</v>
      </c>
    </row>
    <row r="33" spans="1:5" ht="15">
      <c r="A33" t="s">
        <v>151</v>
      </c>
      <c r="D33" s="94">
        <f>350000.92+D32</f>
        <v>830800.91999999993</v>
      </c>
    </row>
    <row r="34" spans="1:5">
      <c r="A34" s="95" t="s">
        <v>152</v>
      </c>
      <c r="D34" s="95">
        <f>D33-796990.14</f>
        <v>33810.779999999912</v>
      </c>
      <c r="E34">
        <f>H30-D33</f>
        <v>-410.54099999996834</v>
      </c>
    </row>
  </sheetData>
  <mergeCells count="2">
    <mergeCell ref="J6:M6"/>
    <mergeCell ref="F6:I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N15" sqref="N15"/>
    </sheetView>
  </sheetViews>
  <sheetFormatPr defaultRowHeight="12.75"/>
  <cols>
    <col min="4" max="4" width="12.140625" customWidth="1"/>
    <col min="5" max="5" width="10.42578125" customWidth="1"/>
    <col min="7" max="7" width="10.140625" customWidth="1"/>
    <col min="9" max="9" width="13.42578125" customWidth="1"/>
    <col min="12" max="12" width="9.28515625" bestFit="1" customWidth="1"/>
    <col min="13" max="13" width="13.7109375" customWidth="1"/>
    <col min="17" max="17" width="10" customWidth="1"/>
  </cols>
  <sheetData>
    <row r="1" spans="1:17" ht="15.75">
      <c r="A1" s="6" t="s">
        <v>25</v>
      </c>
    </row>
    <row r="3" spans="1:17" ht="20.25">
      <c r="B3" s="118" t="s">
        <v>149</v>
      </c>
      <c r="J3" s="154" t="s">
        <v>177</v>
      </c>
    </row>
    <row r="4" spans="1:17" ht="13.5" thickBot="1">
      <c r="F4" t="s">
        <v>133</v>
      </c>
      <c r="G4" t="s">
        <v>132</v>
      </c>
    </row>
    <row r="5" spans="1:17" ht="20.25">
      <c r="B5" s="103" t="s">
        <v>107</v>
      </c>
      <c r="C5" s="104"/>
      <c r="D5" s="104"/>
      <c r="E5" s="112"/>
      <c r="F5" s="248" t="s">
        <v>108</v>
      </c>
      <c r="G5" s="249"/>
      <c r="H5" s="249"/>
      <c r="I5" s="250"/>
      <c r="J5" s="248" t="s">
        <v>109</v>
      </c>
      <c r="K5" s="249"/>
      <c r="L5" s="249"/>
      <c r="M5" s="249"/>
      <c r="N5" s="98"/>
      <c r="O5" s="98" t="s">
        <v>181</v>
      </c>
      <c r="P5" s="98"/>
      <c r="Q5" s="98"/>
    </row>
    <row r="6" spans="1:17" ht="15">
      <c r="A6" s="94"/>
      <c r="B6" s="106" t="s">
        <v>174</v>
      </c>
      <c r="C6" s="97"/>
      <c r="D6" s="97"/>
      <c r="E6" s="150"/>
      <c r="F6" s="106" t="s">
        <v>174</v>
      </c>
      <c r="G6" s="97"/>
      <c r="H6" s="97"/>
      <c r="I6" s="100"/>
      <c r="J6" s="106" t="s">
        <v>175</v>
      </c>
      <c r="K6" s="97"/>
      <c r="L6" s="97"/>
      <c r="M6" s="100"/>
      <c r="N6" s="98"/>
      <c r="O6" s="98" t="s">
        <v>183</v>
      </c>
      <c r="P6" s="98" t="s">
        <v>184</v>
      </c>
      <c r="Q6" s="98" t="s">
        <v>185</v>
      </c>
    </row>
    <row r="7" spans="1:17">
      <c r="B7" s="108" t="s">
        <v>30</v>
      </c>
      <c r="C7" s="98" t="s">
        <v>31</v>
      </c>
      <c r="D7" s="98" t="s">
        <v>11</v>
      </c>
      <c r="E7" s="150" t="s">
        <v>32</v>
      </c>
      <c r="F7" s="108" t="s">
        <v>34</v>
      </c>
      <c r="G7" s="98" t="s">
        <v>35</v>
      </c>
      <c r="H7" s="98" t="s">
        <v>11</v>
      </c>
      <c r="I7" s="101" t="s">
        <v>32</v>
      </c>
      <c r="J7" s="108" t="s">
        <v>19</v>
      </c>
      <c r="K7" s="98" t="s">
        <v>37</v>
      </c>
      <c r="L7" s="98" t="s">
        <v>11</v>
      </c>
      <c r="M7" s="101" t="s">
        <v>32</v>
      </c>
      <c r="N7" s="193" t="s">
        <v>182</v>
      </c>
      <c r="O7" s="98">
        <v>545</v>
      </c>
      <c r="P7" s="98">
        <v>1718.97</v>
      </c>
      <c r="Q7" s="98">
        <f>O7*P7</f>
        <v>936838.65</v>
      </c>
    </row>
    <row r="8" spans="1:17">
      <c r="A8" s="102" t="s">
        <v>148</v>
      </c>
      <c r="B8" s="108"/>
      <c r="C8" s="98"/>
      <c r="D8" s="99"/>
      <c r="E8" s="177">
        <v>411.12</v>
      </c>
      <c r="F8" s="108"/>
      <c r="G8" s="98"/>
      <c r="H8" s="98"/>
      <c r="I8" s="101"/>
      <c r="J8" s="110"/>
      <c r="K8" s="98"/>
      <c r="L8" s="99">
        <v>0</v>
      </c>
      <c r="M8" s="101"/>
      <c r="N8" s="98" t="s">
        <v>67</v>
      </c>
      <c r="O8" s="98">
        <v>1104</v>
      </c>
      <c r="P8" s="98">
        <v>38.229999999999997</v>
      </c>
      <c r="Q8" s="98">
        <f>O8*P8</f>
        <v>42205.919999999998</v>
      </c>
    </row>
    <row r="9" spans="1:17">
      <c r="A9" s="101" t="s">
        <v>38</v>
      </c>
      <c r="B9" s="108">
        <v>116.95</v>
      </c>
      <c r="C9" s="98">
        <v>1198.8599999999999</v>
      </c>
      <c r="D9" s="115">
        <f>B9*C9</f>
        <v>140206.677</v>
      </c>
      <c r="E9" s="150">
        <v>76360</v>
      </c>
      <c r="F9" s="108">
        <v>39</v>
      </c>
      <c r="G9" s="98">
        <v>31.74</v>
      </c>
      <c r="H9" s="98">
        <f>F9*G9</f>
        <v>1237.8599999999999</v>
      </c>
      <c r="I9" s="101">
        <v>1018.29</v>
      </c>
      <c r="J9" s="108">
        <v>2769</v>
      </c>
      <c r="K9" s="115">
        <f>L9/J9</f>
        <v>1.5853232213795594</v>
      </c>
      <c r="L9" s="131">
        <v>4389.76</v>
      </c>
      <c r="M9" s="101">
        <v>4389.76</v>
      </c>
      <c r="N9" s="98" t="s">
        <v>186</v>
      </c>
      <c r="O9" s="98">
        <v>74600</v>
      </c>
      <c r="P9" s="98">
        <v>2.57</v>
      </c>
      <c r="Q9" s="98">
        <f>O9*P9</f>
        <v>191722</v>
      </c>
    </row>
    <row r="10" spans="1:17">
      <c r="A10" s="101" t="s">
        <v>39</v>
      </c>
      <c r="B10" s="178">
        <v>46.076999999999998</v>
      </c>
      <c r="C10" s="98">
        <v>1198.8599999999999</v>
      </c>
      <c r="D10" s="115">
        <f>B10*C10</f>
        <v>55239.87221999999</v>
      </c>
      <c r="E10" s="150"/>
      <c r="F10" s="108"/>
      <c r="G10" s="98"/>
      <c r="H10" s="98"/>
      <c r="I10" s="101"/>
      <c r="J10" s="108"/>
      <c r="K10" s="115"/>
      <c r="L10" s="131"/>
      <c r="M10" s="101"/>
      <c r="N10" s="98" t="s">
        <v>103</v>
      </c>
      <c r="O10" s="98"/>
      <c r="P10" s="98"/>
      <c r="Q10" s="98">
        <f>SUM(Q7:Q9)</f>
        <v>1170766.57</v>
      </c>
    </row>
    <row r="11" spans="1:17">
      <c r="A11" s="101" t="s">
        <v>39</v>
      </c>
      <c r="B11" s="178">
        <v>45.783000000000001</v>
      </c>
      <c r="C11" s="98">
        <v>1429</v>
      </c>
      <c r="D11" s="115">
        <f>B11*C11</f>
        <v>65423.906999999999</v>
      </c>
      <c r="E11" s="150"/>
      <c r="F11" s="108">
        <v>66</v>
      </c>
      <c r="G11" s="98">
        <v>31.74</v>
      </c>
      <c r="H11" s="98">
        <v>2094.63</v>
      </c>
      <c r="I11" s="101">
        <v>2314.1999999999998</v>
      </c>
      <c r="J11" s="108">
        <v>9550</v>
      </c>
      <c r="K11" s="115">
        <f>L11/J11</f>
        <v>1.5853204188481675</v>
      </c>
      <c r="L11" s="131">
        <v>15139.81</v>
      </c>
      <c r="M11" s="109">
        <v>15139.81</v>
      </c>
    </row>
    <row r="12" spans="1:17">
      <c r="A12" s="101" t="s">
        <v>40</v>
      </c>
      <c r="B12" s="108">
        <v>79.14</v>
      </c>
      <c r="C12" s="98">
        <v>1429</v>
      </c>
      <c r="D12" s="115">
        <f>B12*C12</f>
        <v>113091.06</v>
      </c>
      <c r="E12" s="150"/>
      <c r="F12" s="108">
        <v>94</v>
      </c>
      <c r="G12" s="98">
        <v>31.74</v>
      </c>
      <c r="H12" s="98">
        <v>2983.37</v>
      </c>
      <c r="I12" s="101">
        <v>2983.37</v>
      </c>
      <c r="J12" s="108">
        <v>9372</v>
      </c>
      <c r="K12" s="115">
        <f>L12/J12</f>
        <v>1.6646404182671788</v>
      </c>
      <c r="L12" s="131">
        <v>15601.01</v>
      </c>
      <c r="M12" s="150">
        <v>9470.43</v>
      </c>
    </row>
    <row r="13" spans="1:17">
      <c r="A13" s="102" t="s">
        <v>41</v>
      </c>
      <c r="B13" s="110">
        <f>SUM(B9:B12)</f>
        <v>287.95</v>
      </c>
      <c r="C13" s="98"/>
      <c r="D13" s="125">
        <f>SUM(D9:D12)</f>
        <v>373961.51621999999</v>
      </c>
      <c r="E13" s="151">
        <f>SUM(E9:E12)</f>
        <v>76360</v>
      </c>
      <c r="F13" s="110">
        <f>SUM(F9:F12)</f>
        <v>199</v>
      </c>
      <c r="G13" s="99"/>
      <c r="H13" s="99">
        <f>SUM(H9:H12)</f>
        <v>6315.86</v>
      </c>
      <c r="I13" s="102">
        <f>SUM(I9:I12)</f>
        <v>6315.86</v>
      </c>
      <c r="J13" s="110">
        <f>SUM(J9:J12)</f>
        <v>21691</v>
      </c>
      <c r="K13" s="115"/>
      <c r="L13" s="99">
        <f>SUM(L9:L12)</f>
        <v>35130.58</v>
      </c>
      <c r="M13" s="111">
        <f>SUM(M9:M12)</f>
        <v>29000</v>
      </c>
    </row>
    <row r="14" spans="1:17">
      <c r="A14" s="101" t="s">
        <v>43</v>
      </c>
      <c r="B14" s="108">
        <v>45.13</v>
      </c>
      <c r="C14" s="98">
        <v>1429</v>
      </c>
      <c r="D14" s="115">
        <f>B14*C14</f>
        <v>64490.770000000004</v>
      </c>
      <c r="E14" s="150">
        <v>285340</v>
      </c>
      <c r="F14" s="108">
        <v>66</v>
      </c>
      <c r="G14" s="98">
        <v>31.74</v>
      </c>
      <c r="H14" s="98">
        <v>2094.71</v>
      </c>
      <c r="I14" s="101">
        <v>2094.71</v>
      </c>
      <c r="J14" s="108">
        <v>6239</v>
      </c>
      <c r="K14" s="115">
        <f>L14/J14</f>
        <v>1.6813223272960411</v>
      </c>
      <c r="L14" s="155">
        <v>10489.77</v>
      </c>
      <c r="M14" s="109">
        <v>9000</v>
      </c>
    </row>
    <row r="15" spans="1:17">
      <c r="A15" s="101" t="s">
        <v>44</v>
      </c>
      <c r="B15" s="108">
        <v>0</v>
      </c>
      <c r="C15" s="98"/>
      <c r="D15" s="115"/>
      <c r="E15" s="150"/>
      <c r="F15" s="108">
        <v>87</v>
      </c>
      <c r="G15" s="98">
        <v>31.74</v>
      </c>
      <c r="H15" s="98">
        <v>2761.21</v>
      </c>
      <c r="I15" s="101">
        <v>2761.21</v>
      </c>
      <c r="J15" s="108">
        <v>5267</v>
      </c>
      <c r="K15" s="115">
        <f>L15/J15</f>
        <v>1.6620011391684071</v>
      </c>
      <c r="L15" s="155">
        <v>8753.76</v>
      </c>
      <c r="M15" s="109">
        <v>10000</v>
      </c>
    </row>
    <row r="16" spans="1:17">
      <c r="A16" s="101" t="s">
        <v>45</v>
      </c>
      <c r="B16" s="108"/>
      <c r="C16" s="98"/>
      <c r="D16" s="115"/>
      <c r="E16" s="150"/>
      <c r="F16" s="108">
        <v>89</v>
      </c>
      <c r="G16" s="98">
        <v>31.74</v>
      </c>
      <c r="H16" s="98">
        <v>2822.2</v>
      </c>
      <c r="I16" s="101">
        <v>2822.2</v>
      </c>
      <c r="J16" s="108">
        <v>3745</v>
      </c>
      <c r="K16" s="115">
        <f>L16/J16</f>
        <v>1.7165981308411216</v>
      </c>
      <c r="L16" s="155">
        <v>6428.66</v>
      </c>
      <c r="M16" s="109">
        <v>7000</v>
      </c>
    </row>
    <row r="17" spans="1:13">
      <c r="A17" s="102" t="s">
        <v>46</v>
      </c>
      <c r="B17" s="110">
        <f>SUM(B14:B16)</f>
        <v>45.13</v>
      </c>
      <c r="C17" s="99"/>
      <c r="D17" s="125">
        <f>SUM(D14:D16)</f>
        <v>64490.770000000004</v>
      </c>
      <c r="E17" s="151">
        <f>SUM(E14:E16)</f>
        <v>285340</v>
      </c>
      <c r="F17" s="110">
        <f>SUM(F14:F16)</f>
        <v>242</v>
      </c>
      <c r="G17" s="98"/>
      <c r="H17" s="99">
        <f>SUM(H14:H16)</f>
        <v>7678.12</v>
      </c>
      <c r="I17" s="102">
        <f>SUM(I14:I16)</f>
        <v>7678.12</v>
      </c>
      <c r="J17" s="110">
        <f>SUM(J14:J16)</f>
        <v>15251</v>
      </c>
      <c r="K17" s="115"/>
      <c r="L17" s="99">
        <f>SUM(L14:L16)</f>
        <v>25672.19</v>
      </c>
      <c r="M17" s="111">
        <f>SUM(M14:M16)</f>
        <v>26000</v>
      </c>
    </row>
    <row r="18" spans="1:13">
      <c r="A18" s="101" t="s">
        <v>47</v>
      </c>
      <c r="B18" s="108"/>
      <c r="C18" s="98"/>
      <c r="D18" s="115"/>
      <c r="E18" s="150">
        <v>76341.19</v>
      </c>
      <c r="F18" s="108">
        <v>69</v>
      </c>
      <c r="G18" s="98">
        <v>31.74</v>
      </c>
      <c r="H18" s="98">
        <v>2089.92</v>
      </c>
      <c r="I18" s="101">
        <v>2089.92</v>
      </c>
      <c r="J18" s="108">
        <v>1613</v>
      </c>
      <c r="K18" s="115">
        <f>L18/J18</f>
        <v>1.8023992560446374</v>
      </c>
      <c r="L18" s="155">
        <v>2907.27</v>
      </c>
      <c r="M18" s="109">
        <v>8710.0400000000009</v>
      </c>
    </row>
    <row r="19" spans="1:13">
      <c r="A19" s="101" t="s">
        <v>48</v>
      </c>
      <c r="B19" s="108"/>
      <c r="C19" s="98"/>
      <c r="D19" s="115"/>
      <c r="E19" s="150"/>
      <c r="F19" s="108">
        <v>49</v>
      </c>
      <c r="G19" s="98">
        <v>31.74</v>
      </c>
      <c r="H19" s="98">
        <v>1555.16</v>
      </c>
      <c r="I19" s="101">
        <v>1555.16</v>
      </c>
      <c r="J19" s="108">
        <v>929</v>
      </c>
      <c r="K19" s="115">
        <f>L19/J19</f>
        <v>1.802389666307858</v>
      </c>
      <c r="L19" s="155">
        <v>1674.42</v>
      </c>
      <c r="M19" s="109">
        <v>1674.42</v>
      </c>
    </row>
    <row r="20" spans="1:13">
      <c r="A20" s="101" t="s">
        <v>49</v>
      </c>
      <c r="B20" s="108"/>
      <c r="C20" s="98"/>
      <c r="D20" s="115"/>
      <c r="E20" s="150"/>
      <c r="F20" s="108">
        <v>48</v>
      </c>
      <c r="G20" s="98">
        <v>31.74</v>
      </c>
      <c r="H20" s="98">
        <v>1523.42</v>
      </c>
      <c r="I20" s="101">
        <v>1523.42</v>
      </c>
      <c r="J20" s="108">
        <v>3676</v>
      </c>
      <c r="K20" s="115">
        <f>L20/J20</f>
        <v>1.8023993471164308</v>
      </c>
      <c r="L20" s="192">
        <v>6625.62</v>
      </c>
      <c r="M20" s="109">
        <v>6625.62</v>
      </c>
    </row>
    <row r="21" spans="1:13">
      <c r="A21" s="102" t="s">
        <v>50</v>
      </c>
      <c r="B21" s="110"/>
      <c r="C21" s="99"/>
      <c r="D21" s="125"/>
      <c r="E21" s="151">
        <f>SUM(E18:E20)</f>
        <v>76341.19</v>
      </c>
      <c r="F21" s="110">
        <f>SUM(F18:F20)</f>
        <v>166</v>
      </c>
      <c r="G21" s="99"/>
      <c r="H21" s="99">
        <f>SUM(H18:H20)</f>
        <v>5168.5</v>
      </c>
      <c r="I21" s="102">
        <f>SUM(I18:I20)</f>
        <v>5168.5</v>
      </c>
      <c r="J21" s="110">
        <f>SUM(J18:J20)</f>
        <v>6218</v>
      </c>
      <c r="K21" s="99"/>
      <c r="L21" s="99">
        <f>SUM(L18:L20)</f>
        <v>11207.310000000001</v>
      </c>
      <c r="M21" s="111">
        <f>SUM(M18:M20)</f>
        <v>17010.080000000002</v>
      </c>
    </row>
    <row r="22" spans="1:13">
      <c r="A22" s="101" t="s">
        <v>51</v>
      </c>
      <c r="B22" s="108">
        <v>38.42</v>
      </c>
      <c r="C22" s="98">
        <v>1530.01</v>
      </c>
      <c r="D22" s="115">
        <f>B22*C22</f>
        <v>58782.984199999999</v>
      </c>
      <c r="E22" s="150">
        <v>27571.63</v>
      </c>
      <c r="F22" s="108">
        <v>137</v>
      </c>
      <c r="G22" s="98">
        <v>31.74</v>
      </c>
      <c r="H22" s="98">
        <v>4362.83</v>
      </c>
      <c r="I22" s="101">
        <v>4362.83</v>
      </c>
      <c r="J22" s="108">
        <v>4742</v>
      </c>
      <c r="K22" s="115">
        <f>L22/J22</f>
        <v>1.824957823703079</v>
      </c>
      <c r="L22" s="155">
        <v>8653.9500000000007</v>
      </c>
      <c r="M22" s="109">
        <v>8653.9500000000007</v>
      </c>
    </row>
    <row r="23" spans="1:13">
      <c r="A23" s="101" t="s">
        <v>52</v>
      </c>
      <c r="B23" s="108">
        <v>60.68</v>
      </c>
      <c r="C23" s="98">
        <v>1530.01</v>
      </c>
      <c r="D23" s="115">
        <f>B23*C23</f>
        <v>92841.006800000003</v>
      </c>
      <c r="E23" s="150">
        <v>134387.18</v>
      </c>
      <c r="F23" s="108">
        <v>109</v>
      </c>
      <c r="G23" s="98">
        <v>31.74</v>
      </c>
      <c r="H23" s="98">
        <v>3459.44</v>
      </c>
      <c r="I23" s="101">
        <v>3459.44</v>
      </c>
      <c r="J23" s="108">
        <v>8799</v>
      </c>
      <c r="K23" s="115">
        <f>L23/J23</f>
        <v>1.8249585180134105</v>
      </c>
      <c r="L23" s="155">
        <v>16057.81</v>
      </c>
      <c r="M23" s="109">
        <v>16057.81</v>
      </c>
    </row>
    <row r="24" spans="1:13">
      <c r="A24" s="101" t="s">
        <v>53</v>
      </c>
      <c r="B24" s="108">
        <v>111.42</v>
      </c>
      <c r="C24" s="98">
        <v>1530.01</v>
      </c>
      <c r="D24" s="115">
        <f>B24*C24</f>
        <v>170473.71419999999</v>
      </c>
      <c r="E24" s="150">
        <v>174300</v>
      </c>
      <c r="F24" s="108">
        <v>251</v>
      </c>
      <c r="G24" s="98">
        <v>31.74</v>
      </c>
      <c r="H24" s="98">
        <v>7965.76</v>
      </c>
      <c r="I24" s="101">
        <v>7965.76</v>
      </c>
      <c r="J24" s="108">
        <v>16808</v>
      </c>
      <c r="K24" s="115">
        <f>L24/J24</f>
        <v>1.8249595430747263</v>
      </c>
      <c r="L24" s="155">
        <v>30673.919999999998</v>
      </c>
      <c r="M24" s="109">
        <v>30673.919999999998</v>
      </c>
    </row>
    <row r="25" spans="1:13" ht="13.5" thickBot="1">
      <c r="A25" s="102" t="s">
        <v>54</v>
      </c>
      <c r="B25" s="120">
        <f>SUM(B22:B24)</f>
        <v>210.51999999999998</v>
      </c>
      <c r="C25" s="121"/>
      <c r="D25" s="126">
        <f>SUM(D22:D24)</f>
        <v>322097.70519999997</v>
      </c>
      <c r="E25" s="151">
        <f>SUM(E22:E24)</f>
        <v>336258.81</v>
      </c>
      <c r="F25" s="110">
        <f>SUM(F22:F24)</f>
        <v>497</v>
      </c>
      <c r="G25" s="99"/>
      <c r="H25" s="99">
        <f>SUM(H22:H24)</f>
        <v>15788.03</v>
      </c>
      <c r="I25" s="102">
        <f>SUM(I22:I24)</f>
        <v>15788.03</v>
      </c>
      <c r="J25" s="110">
        <f>SUM(J22:J24)</f>
        <v>30349</v>
      </c>
      <c r="K25" s="115">
        <f>L25/J25</f>
        <v>1.8249589772315398</v>
      </c>
      <c r="L25" s="99">
        <f>SUM(L22:L24)</f>
        <v>55385.68</v>
      </c>
      <c r="M25" s="111">
        <f>SUM(M22:M24)</f>
        <v>55385.68</v>
      </c>
    </row>
    <row r="26" spans="1:13" ht="15.75" thickBot="1">
      <c r="A26" s="97" t="s">
        <v>55</v>
      </c>
      <c r="B26" s="96">
        <f>B25+B21+B17+B13</f>
        <v>543.59999999999991</v>
      </c>
      <c r="C26" s="96"/>
      <c r="D26" s="127">
        <f>D25+D21+D17+D13+D8</f>
        <v>760549.99141999998</v>
      </c>
      <c r="E26" s="151">
        <f>E25+E21+E17+E13+E8</f>
        <v>774711.12</v>
      </c>
      <c r="F26" s="120">
        <f>F25+F21+F17+F13</f>
        <v>1104</v>
      </c>
      <c r="G26" s="121"/>
      <c r="H26" s="121">
        <f>H25+H21+H17+H13</f>
        <v>34950.509999999995</v>
      </c>
      <c r="I26" s="123">
        <f>I25+I21+I17+I13</f>
        <v>34950.509999999995</v>
      </c>
      <c r="J26" s="120">
        <f>J25+J21+J17+J13</f>
        <v>73509</v>
      </c>
      <c r="K26" s="121"/>
      <c r="L26" s="121">
        <f>L25+L21+L17+L13+L8</f>
        <v>127395.76000000001</v>
      </c>
      <c r="M26" s="122">
        <f>M25+M21+M17+M13</f>
        <v>127395.76000000001</v>
      </c>
    </row>
    <row r="27" spans="1:13" ht="18.75">
      <c r="A27" s="116" t="s">
        <v>56</v>
      </c>
      <c r="B27">
        <v>333.08</v>
      </c>
      <c r="D27" s="117"/>
      <c r="E27" s="153">
        <f>D26-E26</f>
        <v>-14161.128580000019</v>
      </c>
      <c r="F27" s="117"/>
      <c r="G27" s="117"/>
      <c r="H27" s="117"/>
      <c r="I27" s="117">
        <f>H26-I26</f>
        <v>0</v>
      </c>
      <c r="J27" s="117"/>
      <c r="K27" s="117"/>
      <c r="L27" s="117"/>
      <c r="M27" s="152">
        <f>L26-M26</f>
        <v>0</v>
      </c>
    </row>
    <row r="28" spans="1:13">
      <c r="B28" t="s">
        <v>130</v>
      </c>
      <c r="D28" s="148" t="s">
        <v>123</v>
      </c>
      <c r="E28" s="148"/>
      <c r="F28" s="148" t="s">
        <v>124</v>
      </c>
      <c r="G28" s="149"/>
    </row>
    <row r="30" spans="1:13" ht="15.75">
      <c r="A30" s="154" t="s">
        <v>180</v>
      </c>
      <c r="F30" s="154" t="s">
        <v>157</v>
      </c>
      <c r="G30" s="6">
        <v>1543203.48</v>
      </c>
      <c r="H30" s="154" t="s">
        <v>114</v>
      </c>
      <c r="J30" s="251" t="s">
        <v>176</v>
      </c>
      <c r="K30" s="251"/>
      <c r="L30" s="95">
        <f>E13+E17+E21+E25</f>
        <v>774300</v>
      </c>
    </row>
    <row r="31" spans="1:13">
      <c r="A31" s="154" t="s">
        <v>178</v>
      </c>
    </row>
    <row r="32" spans="1:13" ht="18">
      <c r="A32" s="154" t="s">
        <v>179</v>
      </c>
    </row>
  </sheetData>
  <mergeCells count="3">
    <mergeCell ref="F5:I5"/>
    <mergeCell ref="J5:M5"/>
    <mergeCell ref="J30:K3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>
      <selection activeCell="B22" sqref="B22:B24"/>
    </sheetView>
  </sheetViews>
  <sheetFormatPr defaultRowHeight="12.75"/>
  <cols>
    <col min="1" max="1" width="11.7109375" customWidth="1"/>
    <col min="3" max="3" width="10" customWidth="1"/>
    <col min="4" max="4" width="13.140625" customWidth="1"/>
    <col min="5" max="5" width="11.28515625" customWidth="1"/>
    <col min="6" max="6" width="6.85546875" customWidth="1"/>
    <col min="7" max="7" width="7" customWidth="1"/>
    <col min="8" max="8" width="6.85546875" customWidth="1"/>
    <col min="9" max="9" width="8.140625" customWidth="1"/>
    <col min="11" max="11" width="13.28515625" customWidth="1"/>
    <col min="12" max="12" width="8.28515625" customWidth="1"/>
    <col min="13" max="13" width="8" customWidth="1"/>
    <col min="14" max="14" width="11.85546875" customWidth="1"/>
    <col min="15" max="15" width="11" customWidth="1"/>
  </cols>
  <sheetData>
    <row r="1" spans="1:15" ht="15.75">
      <c r="A1" s="6"/>
    </row>
    <row r="3" spans="1:15" ht="20.25">
      <c r="B3" s="118" t="s">
        <v>194</v>
      </c>
      <c r="L3" s="154"/>
    </row>
    <row r="4" spans="1:15" ht="23.25">
      <c r="B4" s="118"/>
      <c r="G4" s="198" t="s">
        <v>198</v>
      </c>
      <c r="L4" s="154"/>
    </row>
    <row r="5" spans="1:15" ht="13.5" thickBot="1">
      <c r="C5" s="194" t="s">
        <v>192</v>
      </c>
    </row>
    <row r="6" spans="1:15" ht="20.25">
      <c r="B6" s="103" t="s">
        <v>107</v>
      </c>
      <c r="C6" s="104"/>
      <c r="D6" s="104"/>
      <c r="E6" s="112"/>
      <c r="F6" s="248" t="s">
        <v>108</v>
      </c>
      <c r="G6" s="249"/>
      <c r="H6" s="249"/>
      <c r="I6" s="249"/>
      <c r="J6" s="249"/>
      <c r="K6" s="250"/>
      <c r="L6" s="248" t="s">
        <v>109</v>
      </c>
      <c r="M6" s="249"/>
      <c r="N6" s="249"/>
      <c r="O6" s="250"/>
    </row>
    <row r="7" spans="1:15" ht="15">
      <c r="A7" s="94"/>
      <c r="B7" s="106" t="s">
        <v>187</v>
      </c>
      <c r="C7" s="97"/>
      <c r="D7" s="97"/>
      <c r="E7" s="150"/>
      <c r="F7" s="106" t="s">
        <v>187</v>
      </c>
      <c r="G7" s="97"/>
      <c r="H7" s="97"/>
      <c r="I7" s="97"/>
      <c r="J7" s="97"/>
      <c r="K7" s="100"/>
      <c r="L7" s="106" t="s">
        <v>188</v>
      </c>
      <c r="M7" s="97"/>
      <c r="N7" s="97"/>
      <c r="O7" s="107"/>
    </row>
    <row r="8" spans="1:15" ht="52.5" customHeight="1">
      <c r="B8" s="108" t="s">
        <v>30</v>
      </c>
      <c r="C8" s="98" t="s">
        <v>31</v>
      </c>
      <c r="D8" s="98" t="s">
        <v>11</v>
      </c>
      <c r="E8" s="150" t="s">
        <v>32</v>
      </c>
      <c r="F8" s="108" t="s">
        <v>34</v>
      </c>
      <c r="G8" s="197" t="s">
        <v>195</v>
      </c>
      <c r="H8" s="197" t="s">
        <v>196</v>
      </c>
      <c r="I8" s="98" t="s">
        <v>11</v>
      </c>
      <c r="J8" s="98" t="s">
        <v>11</v>
      </c>
      <c r="K8" s="101" t="s">
        <v>32</v>
      </c>
      <c r="L8" s="108" t="s">
        <v>19</v>
      </c>
      <c r="M8" s="98" t="s">
        <v>37</v>
      </c>
      <c r="N8" s="98" t="s">
        <v>11</v>
      </c>
      <c r="O8" s="109" t="s">
        <v>32</v>
      </c>
    </row>
    <row r="9" spans="1:15" ht="15.75">
      <c r="A9" s="195" t="s">
        <v>191</v>
      </c>
      <c r="B9" s="108"/>
      <c r="C9" s="98"/>
      <c r="D9" s="99"/>
      <c r="E9" s="177">
        <v>14161.13</v>
      </c>
      <c r="F9" s="108"/>
      <c r="G9" s="98"/>
      <c r="H9" s="98"/>
      <c r="I9" s="98"/>
      <c r="J9" s="98"/>
      <c r="K9" s="101"/>
      <c r="L9" s="110"/>
      <c r="M9" s="98"/>
      <c r="N9" s="99">
        <v>0</v>
      </c>
      <c r="O9" s="109"/>
    </row>
    <row r="10" spans="1:15" ht="15">
      <c r="A10" s="196" t="s">
        <v>38</v>
      </c>
      <c r="B10" s="108">
        <v>112.59</v>
      </c>
      <c r="C10" s="98">
        <v>1530.01</v>
      </c>
      <c r="D10" s="115">
        <f>B10*C10</f>
        <v>172263.8259</v>
      </c>
      <c r="E10" s="150"/>
      <c r="F10" s="108">
        <v>0</v>
      </c>
      <c r="G10" s="98">
        <v>17.11</v>
      </c>
      <c r="H10" s="98">
        <v>14.63</v>
      </c>
      <c r="I10" s="98">
        <f>SUM(G10:H10)</f>
        <v>31.740000000000002</v>
      </c>
      <c r="J10" s="98">
        <f>F10*I10</f>
        <v>0</v>
      </c>
      <c r="K10" s="101">
        <v>0</v>
      </c>
      <c r="L10" s="108">
        <v>2000</v>
      </c>
      <c r="M10" s="115">
        <f>N10/L10</f>
        <v>1.9072799999999999</v>
      </c>
      <c r="N10" s="131">
        <v>3814.56</v>
      </c>
      <c r="O10" s="109"/>
    </row>
    <row r="11" spans="1:15" ht="15">
      <c r="A11" s="196" t="s">
        <v>39</v>
      </c>
      <c r="B11" s="178">
        <v>110.04</v>
      </c>
      <c r="C11" s="98">
        <v>1530.01</v>
      </c>
      <c r="D11" s="115">
        <f t="shared" ref="D11:D24" si="0">B11*C11</f>
        <v>168362.30040000001</v>
      </c>
      <c r="E11" s="150">
        <v>104728</v>
      </c>
      <c r="F11" s="108">
        <v>20</v>
      </c>
      <c r="G11" s="98">
        <v>17.11</v>
      </c>
      <c r="H11" s="98">
        <v>14.63</v>
      </c>
      <c r="I11" s="98">
        <f>SUM(G11:H11)</f>
        <v>31.740000000000002</v>
      </c>
      <c r="J11" s="98">
        <v>634.76</v>
      </c>
      <c r="K11" s="101">
        <v>634.76</v>
      </c>
      <c r="L11" s="108">
        <v>4815</v>
      </c>
      <c r="M11" s="115">
        <f>N11/L11</f>
        <v>1.9072814122533748</v>
      </c>
      <c r="N11" s="131">
        <v>9183.56</v>
      </c>
      <c r="O11" s="109">
        <v>12998.12</v>
      </c>
    </row>
    <row r="12" spans="1:15" ht="15">
      <c r="A12" s="196" t="s">
        <v>40</v>
      </c>
      <c r="B12" s="108">
        <v>110.88</v>
      </c>
      <c r="C12" s="98">
        <v>1530.01</v>
      </c>
      <c r="D12" s="115">
        <f t="shared" si="0"/>
        <v>169647.50879999998</v>
      </c>
      <c r="E12" s="150">
        <v>78972</v>
      </c>
      <c r="F12" s="108">
        <v>44</v>
      </c>
      <c r="G12" s="98">
        <v>17.11</v>
      </c>
      <c r="H12" s="98">
        <v>14.63</v>
      </c>
      <c r="I12" s="98">
        <f>SUM(G12:H12)</f>
        <v>31.740000000000002</v>
      </c>
      <c r="J12" s="98">
        <v>1396.47</v>
      </c>
      <c r="K12" s="101">
        <v>1396.47</v>
      </c>
      <c r="L12" s="108">
        <v>9284</v>
      </c>
      <c r="M12" s="115">
        <f>N12/L12</f>
        <v>1.9072791900043085</v>
      </c>
      <c r="N12" s="131">
        <v>17707.18</v>
      </c>
      <c r="O12" s="150">
        <v>17707.18</v>
      </c>
    </row>
    <row r="13" spans="1:15" ht="15.75">
      <c r="A13" s="195" t="s">
        <v>41</v>
      </c>
      <c r="B13" s="110">
        <f>SUM(B10:B12)</f>
        <v>333.51</v>
      </c>
      <c r="C13" s="98"/>
      <c r="D13" s="125">
        <f>SUM(D10:D12)</f>
        <v>510273.63509999996</v>
      </c>
      <c r="E13" s="151">
        <f>SUM(E10:E12)</f>
        <v>183700</v>
      </c>
      <c r="F13" s="110">
        <f>SUM(F10:F12)</f>
        <v>64</v>
      </c>
      <c r="G13" s="98"/>
      <c r="H13" s="98"/>
      <c r="I13" s="98"/>
      <c r="J13" s="99">
        <f>SUM(J10:J12)</f>
        <v>2031.23</v>
      </c>
      <c r="K13" s="102">
        <f>SUM(K10:K12)</f>
        <v>2031.23</v>
      </c>
      <c r="L13" s="110">
        <f>SUM(L10:L12)</f>
        <v>16099</v>
      </c>
      <c r="M13" s="115"/>
      <c r="N13" s="99">
        <f>SUM(N10:N12)</f>
        <v>30705.3</v>
      </c>
      <c r="O13" s="111">
        <f>SUM(O10:O12)</f>
        <v>30705.300000000003</v>
      </c>
    </row>
    <row r="14" spans="1:15" ht="15">
      <c r="A14" s="196" t="s">
        <v>43</v>
      </c>
      <c r="B14" s="108">
        <v>6.83</v>
      </c>
      <c r="C14" s="98">
        <v>1530.01</v>
      </c>
      <c r="D14" s="115">
        <f t="shared" si="0"/>
        <v>10449.9683</v>
      </c>
      <c r="E14" s="150"/>
      <c r="F14" s="108">
        <v>117</v>
      </c>
      <c r="G14" s="98">
        <v>17.11</v>
      </c>
      <c r="H14" s="98">
        <v>14.63</v>
      </c>
      <c r="I14" s="98">
        <f>SUM(G14:H14)</f>
        <v>31.740000000000002</v>
      </c>
      <c r="J14" s="98">
        <v>3713.35</v>
      </c>
      <c r="K14" s="101">
        <v>3713.35</v>
      </c>
      <c r="L14" s="108">
        <v>7566</v>
      </c>
      <c r="M14" s="115">
        <f>N14/L14</f>
        <v>1.9072799365582871</v>
      </c>
      <c r="N14" s="155">
        <v>14430.48</v>
      </c>
      <c r="O14" s="109">
        <v>14430.48</v>
      </c>
    </row>
    <row r="15" spans="1:15" ht="15">
      <c r="A15" s="196" t="s">
        <v>44</v>
      </c>
      <c r="B15" s="108"/>
      <c r="C15" s="98"/>
      <c r="D15" s="115">
        <f t="shared" si="0"/>
        <v>0</v>
      </c>
      <c r="E15" s="150">
        <v>88600</v>
      </c>
      <c r="F15" s="108">
        <v>111</v>
      </c>
      <c r="G15" s="98">
        <v>17.11</v>
      </c>
      <c r="H15" s="98">
        <v>18.12</v>
      </c>
      <c r="I15" s="98">
        <f>SUM(G15:H15)</f>
        <v>35.230000000000004</v>
      </c>
      <c r="J15" s="98">
        <f>F15*I15</f>
        <v>3910.5300000000007</v>
      </c>
      <c r="K15" s="101">
        <v>3910.53</v>
      </c>
      <c r="L15" s="108">
        <v>5623</v>
      </c>
      <c r="M15" s="115">
        <f t="shared" ref="M15:M24" si="1">N15/L15</f>
        <v>2.0217588475902546</v>
      </c>
      <c r="N15" s="155">
        <v>11368.35</v>
      </c>
      <c r="O15" s="109">
        <v>11368.35</v>
      </c>
    </row>
    <row r="16" spans="1:15" ht="15">
      <c r="A16" s="196" t="s">
        <v>45</v>
      </c>
      <c r="B16" s="108"/>
      <c r="C16" s="98"/>
      <c r="D16" s="115">
        <f t="shared" si="0"/>
        <v>0</v>
      </c>
      <c r="E16" s="150">
        <v>234262.51</v>
      </c>
      <c r="F16" s="108">
        <v>121</v>
      </c>
      <c r="G16" s="98">
        <v>17.11</v>
      </c>
      <c r="H16" s="98">
        <v>18.12</v>
      </c>
      <c r="I16" s="98">
        <f>SUM(G16:H16)</f>
        <v>35.230000000000004</v>
      </c>
      <c r="J16" s="98">
        <v>4160.17</v>
      </c>
      <c r="K16" s="101">
        <v>4160.17</v>
      </c>
      <c r="L16" s="108">
        <v>4045</v>
      </c>
      <c r="M16" s="115">
        <f t="shared" si="1"/>
        <v>2.0217651421508034</v>
      </c>
      <c r="N16" s="155">
        <v>8178.04</v>
      </c>
      <c r="O16" s="109">
        <v>8178.04</v>
      </c>
    </row>
    <row r="17" spans="1:15" ht="15.75">
      <c r="A17" s="195" t="s">
        <v>46</v>
      </c>
      <c r="B17" s="110">
        <f>SUM(B14:B16)</f>
        <v>6.83</v>
      </c>
      <c r="C17" s="99"/>
      <c r="D17" s="125">
        <f>SUM(D14:D16)</f>
        <v>10449.9683</v>
      </c>
      <c r="E17" s="151">
        <f>SUM(E14:E16)</f>
        <v>322862.51</v>
      </c>
      <c r="F17" s="110">
        <f>SUM(F14:F16)</f>
        <v>349</v>
      </c>
      <c r="G17" s="98"/>
      <c r="H17" s="98"/>
      <c r="I17" s="98"/>
      <c r="J17" s="99">
        <f>SUM(J14:J16)</f>
        <v>11784.050000000001</v>
      </c>
      <c r="K17" s="102">
        <f>SUM(K14:K16)</f>
        <v>11784.05</v>
      </c>
      <c r="L17" s="110">
        <f>SUM(L14:L16)</f>
        <v>17234</v>
      </c>
      <c r="M17" s="115"/>
      <c r="N17" s="99">
        <f>SUM(N14:N16)</f>
        <v>33976.870000000003</v>
      </c>
      <c r="O17" s="111">
        <f>SUM(O14:O16)</f>
        <v>33976.870000000003</v>
      </c>
    </row>
    <row r="18" spans="1:15" ht="15">
      <c r="A18" s="196" t="s">
        <v>47</v>
      </c>
      <c r="B18" s="108"/>
      <c r="C18" s="98"/>
      <c r="D18" s="115">
        <f t="shared" si="0"/>
        <v>0</v>
      </c>
      <c r="E18" s="150"/>
      <c r="F18" s="108">
        <v>79</v>
      </c>
      <c r="G18" s="98">
        <v>17.11</v>
      </c>
      <c r="H18" s="98">
        <v>18.12</v>
      </c>
      <c r="I18" s="98">
        <f>SUM(G18:H18)</f>
        <v>35.230000000000004</v>
      </c>
      <c r="J18" s="98">
        <f>F18*I18</f>
        <v>2783.1700000000005</v>
      </c>
      <c r="K18" s="101">
        <v>2783.17</v>
      </c>
      <c r="L18" s="108">
        <v>2222</v>
      </c>
      <c r="M18" s="115">
        <f t="shared" si="1"/>
        <v>2.1870027002700274</v>
      </c>
      <c r="N18" s="155">
        <v>4859.5200000000004</v>
      </c>
      <c r="O18" s="109">
        <v>4859.5200000000004</v>
      </c>
    </row>
    <row r="19" spans="1:15" ht="15">
      <c r="A19" s="196" t="s">
        <v>48</v>
      </c>
      <c r="B19" s="108"/>
      <c r="C19" s="98"/>
      <c r="D19" s="115">
        <f t="shared" si="0"/>
        <v>0</v>
      </c>
      <c r="E19" s="150"/>
      <c r="F19" s="108">
        <v>48</v>
      </c>
      <c r="G19" s="98">
        <v>17.11</v>
      </c>
      <c r="H19" s="98">
        <v>18.12</v>
      </c>
      <c r="I19" s="98">
        <f>SUM(G19:H19)</f>
        <v>35.230000000000004</v>
      </c>
      <c r="J19" s="98">
        <f>F19*I19</f>
        <v>1691.0400000000002</v>
      </c>
      <c r="K19" s="101">
        <v>1691.04</v>
      </c>
      <c r="L19" s="108">
        <v>1465</v>
      </c>
      <c r="M19" s="115">
        <f t="shared" si="1"/>
        <v>2.1573515358361774</v>
      </c>
      <c r="N19" s="155">
        <v>3160.52</v>
      </c>
      <c r="O19" s="109">
        <v>3160.52</v>
      </c>
    </row>
    <row r="20" spans="1:15" ht="15">
      <c r="A20" s="196" t="s">
        <v>49</v>
      </c>
      <c r="B20" s="108"/>
      <c r="C20" s="98"/>
      <c r="D20" s="115">
        <f t="shared" si="0"/>
        <v>0</v>
      </c>
      <c r="E20" s="150"/>
      <c r="F20" s="108">
        <v>65</v>
      </c>
      <c r="G20" s="98">
        <v>17.11</v>
      </c>
      <c r="H20" s="98">
        <v>9</v>
      </c>
      <c r="I20" s="98">
        <f>SUM(G20:H20)</f>
        <v>26.11</v>
      </c>
      <c r="J20" s="98">
        <f>F20*I20</f>
        <v>1697.1499999999999</v>
      </c>
      <c r="K20" s="101">
        <v>1697.15</v>
      </c>
      <c r="L20" s="108">
        <v>2628</v>
      </c>
      <c r="M20" s="115">
        <f t="shared" si="1"/>
        <v>2.1573668188736685</v>
      </c>
      <c r="N20" s="192">
        <v>5669.56</v>
      </c>
      <c r="O20" s="109">
        <v>5669.56</v>
      </c>
    </row>
    <row r="21" spans="1:15" ht="15.75">
      <c r="A21" s="195" t="s">
        <v>50</v>
      </c>
      <c r="B21" s="110"/>
      <c r="C21" s="99"/>
      <c r="D21" s="115">
        <f>SUM(D18:D20)</f>
        <v>0</v>
      </c>
      <c r="E21" s="151">
        <f>SUM(E18:E20)</f>
        <v>0</v>
      </c>
      <c r="F21" s="110">
        <f>SUM(F18:F20)</f>
        <v>192</v>
      </c>
      <c r="G21" s="99"/>
      <c r="H21" s="99"/>
      <c r="I21" s="99"/>
      <c r="J21" s="99">
        <f>SUM(J18:J20)</f>
        <v>6171.3600000000006</v>
      </c>
      <c r="K21" s="102">
        <f>SUM(K18:K20)</f>
        <v>6171.3600000000006</v>
      </c>
      <c r="L21" s="110">
        <f>SUM(L18:L20)</f>
        <v>6315</v>
      </c>
      <c r="M21" s="115"/>
      <c r="N21" s="99">
        <f>SUM(N18:N20)</f>
        <v>13689.600000000002</v>
      </c>
      <c r="O21" s="111">
        <f>SUM(O18:O20)</f>
        <v>13689.600000000002</v>
      </c>
    </row>
    <row r="22" spans="1:15" ht="15">
      <c r="A22" s="196" t="s">
        <v>51</v>
      </c>
      <c r="B22" s="108">
        <v>56.35</v>
      </c>
      <c r="C22" s="98">
        <v>1530.01</v>
      </c>
      <c r="D22" s="115">
        <f t="shared" si="0"/>
        <v>86216.063500000004</v>
      </c>
      <c r="E22" s="150">
        <v>27571.81</v>
      </c>
      <c r="F22" s="108">
        <v>130</v>
      </c>
      <c r="G22" s="98">
        <v>17.11</v>
      </c>
      <c r="H22" s="98">
        <v>9</v>
      </c>
      <c r="I22" s="98">
        <f>SUM(G22:H22)</f>
        <v>26.11</v>
      </c>
      <c r="J22" s="98">
        <v>3240.31</v>
      </c>
      <c r="K22" s="101">
        <v>3240.31</v>
      </c>
      <c r="L22" s="108">
        <v>4231</v>
      </c>
      <c r="M22" s="115">
        <f t="shared" si="1"/>
        <v>2.3638808792247694</v>
      </c>
      <c r="N22" s="155">
        <v>10001.58</v>
      </c>
      <c r="O22" s="109">
        <v>10001.58</v>
      </c>
    </row>
    <row r="23" spans="1:15" ht="15">
      <c r="A23" s="196" t="s">
        <v>52</v>
      </c>
      <c r="B23" s="108">
        <v>75.459999999999994</v>
      </c>
      <c r="C23" s="98">
        <v>1530.01</v>
      </c>
      <c r="D23" s="115">
        <f t="shared" si="0"/>
        <v>115454.55459999999</v>
      </c>
      <c r="E23" s="150">
        <v>174098.8</v>
      </c>
      <c r="F23" s="108">
        <v>111</v>
      </c>
      <c r="G23" s="98">
        <v>17.11</v>
      </c>
      <c r="H23" s="98">
        <v>9</v>
      </c>
      <c r="I23" s="98">
        <f>SUM(G23:H23)</f>
        <v>26.11</v>
      </c>
      <c r="J23" s="98">
        <f>F23*I23</f>
        <v>2898.21</v>
      </c>
      <c r="K23" s="101">
        <v>2898.21</v>
      </c>
      <c r="L23" s="108">
        <v>12500</v>
      </c>
      <c r="M23" s="115">
        <f t="shared" si="1"/>
        <v>2.36388</v>
      </c>
      <c r="N23" s="155">
        <v>29548.5</v>
      </c>
      <c r="O23" s="109">
        <v>29548.5</v>
      </c>
    </row>
    <row r="24" spans="1:15" ht="15">
      <c r="A24" s="196" t="s">
        <v>53</v>
      </c>
      <c r="B24" s="108">
        <v>123.62</v>
      </c>
      <c r="C24" s="98">
        <v>1530.01</v>
      </c>
      <c r="D24" s="115">
        <f t="shared" si="0"/>
        <v>189139.83620000002</v>
      </c>
      <c r="E24" s="150">
        <v>221766.88</v>
      </c>
      <c r="F24" s="108">
        <v>275</v>
      </c>
      <c r="G24" s="98">
        <v>17.11</v>
      </c>
      <c r="H24" s="98">
        <v>9</v>
      </c>
      <c r="I24" s="98">
        <v>26.11</v>
      </c>
      <c r="J24" s="98">
        <v>7180.25</v>
      </c>
      <c r="K24" s="101">
        <v>7180.25</v>
      </c>
      <c r="L24" s="108">
        <v>9650</v>
      </c>
      <c r="M24" s="115">
        <f t="shared" si="1"/>
        <v>2.3638787564766841</v>
      </c>
      <c r="N24" s="155">
        <v>22811.43</v>
      </c>
      <c r="O24" s="109">
        <v>22811.43</v>
      </c>
    </row>
    <row r="25" spans="1:15" ht="16.5" thickBot="1">
      <c r="A25" s="195" t="s">
        <v>54</v>
      </c>
      <c r="B25" s="120">
        <f>SUM(B22:B24)</f>
        <v>255.43</v>
      </c>
      <c r="C25" s="121"/>
      <c r="D25" s="126">
        <f>SUM(D22:D24)</f>
        <v>390810.45429999998</v>
      </c>
      <c r="E25" s="151">
        <f>SUM(E22:E24)</f>
        <v>423437.49</v>
      </c>
      <c r="F25" s="110">
        <f>SUM(F22:F24)</f>
        <v>516</v>
      </c>
      <c r="G25" s="99"/>
      <c r="H25" s="99"/>
      <c r="I25" s="99"/>
      <c r="J25" s="99">
        <f>SUM(J22:J24)</f>
        <v>13318.77</v>
      </c>
      <c r="K25" s="102">
        <f>SUM(K22:K24)</f>
        <v>13318.77</v>
      </c>
      <c r="L25" s="110">
        <f>SUM(L22:L24)</f>
        <v>26381</v>
      </c>
      <c r="M25" s="115"/>
      <c r="N25" s="99">
        <f>SUM(N22:N24)</f>
        <v>62361.51</v>
      </c>
      <c r="O25" s="111">
        <f>SUM(O22:O24)</f>
        <v>62361.51</v>
      </c>
    </row>
    <row r="26" spans="1:15" ht="15.75" thickBot="1">
      <c r="A26" s="97" t="s">
        <v>55</v>
      </c>
      <c r="B26" s="96">
        <f>B25+B21+B17+B13</f>
        <v>595.77</v>
      </c>
      <c r="C26" s="96"/>
      <c r="D26" s="127">
        <f>D25+D21+D17+D13</f>
        <v>911534.0577</v>
      </c>
      <c r="E26" s="151">
        <f>E25+E21+E17+E13+E9</f>
        <v>944161.13</v>
      </c>
      <c r="F26" s="120">
        <f>F25+F21+F17+F13</f>
        <v>1121</v>
      </c>
      <c r="G26" s="121"/>
      <c r="H26" s="121"/>
      <c r="I26" s="121"/>
      <c r="J26" s="121">
        <f>J25+J21+J17+J13</f>
        <v>33305.410000000003</v>
      </c>
      <c r="K26" s="123">
        <f>K25+K21+K17+K13</f>
        <v>33305.410000000003</v>
      </c>
      <c r="L26" s="120">
        <f>L25+L21+L17+L13</f>
        <v>66029</v>
      </c>
      <c r="M26" s="121"/>
      <c r="N26" s="121">
        <f>N25+N21+N17+N13+N9</f>
        <v>140733.28</v>
      </c>
      <c r="O26" s="122">
        <f>O25+O21+O17+O13</f>
        <v>140733.28000000003</v>
      </c>
    </row>
    <row r="27" spans="1:15" ht="18.75">
      <c r="A27" s="116" t="s">
        <v>56</v>
      </c>
      <c r="D27" s="117"/>
      <c r="E27" s="153">
        <f>D26-E26</f>
        <v>-32627.0723</v>
      </c>
      <c r="F27" s="117"/>
      <c r="G27" s="148" t="s">
        <v>189</v>
      </c>
      <c r="H27" s="149" t="s">
        <v>190</v>
      </c>
      <c r="I27" s="148"/>
      <c r="J27" s="117"/>
      <c r="K27" s="117">
        <f>J26-K26</f>
        <v>0</v>
      </c>
      <c r="L27" s="117"/>
      <c r="M27" s="117"/>
      <c r="N27" s="117"/>
      <c r="O27" s="152">
        <f>N26-O26</f>
        <v>0</v>
      </c>
    </row>
    <row r="28" spans="1:15">
      <c r="D28" s="148"/>
      <c r="E28" s="148"/>
      <c r="F28" s="148" t="s">
        <v>197</v>
      </c>
      <c r="G28" s="149"/>
      <c r="H28" s="149"/>
      <c r="I28" s="149"/>
    </row>
    <row r="29" spans="1:15" ht="15.75">
      <c r="A29" s="154" t="s">
        <v>193</v>
      </c>
    </row>
    <row r="31" spans="1:15" ht="38.25">
      <c r="A31" s="214" t="s">
        <v>214</v>
      </c>
      <c r="B31">
        <v>595.77</v>
      </c>
    </row>
    <row r="33" spans="2:2">
      <c r="B33">
        <v>210.52</v>
      </c>
    </row>
  </sheetData>
  <mergeCells count="2">
    <mergeCell ref="F6:K6"/>
    <mergeCell ref="L6:O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J40" sqref="J40"/>
    </sheetView>
  </sheetViews>
  <sheetFormatPr defaultRowHeight="12.75"/>
  <cols>
    <col min="1" max="1" width="4.85546875" customWidth="1"/>
    <col min="3" max="3" width="16.140625" customWidth="1"/>
    <col min="4" max="4" width="10.28515625" customWidth="1"/>
    <col min="5" max="5" width="14.28515625" customWidth="1"/>
    <col min="6" max="6" width="12" customWidth="1"/>
    <col min="7" max="7" width="17.28515625" customWidth="1"/>
  </cols>
  <sheetData>
    <row r="1" spans="1:7" ht="20.25">
      <c r="B1" s="130" t="s">
        <v>81</v>
      </c>
    </row>
    <row r="2" spans="1:7" ht="20.25">
      <c r="C2" s="143" t="s">
        <v>167</v>
      </c>
      <c r="D2" s="143"/>
      <c r="E2" s="143"/>
      <c r="F2" s="143"/>
      <c r="G2" s="143"/>
    </row>
    <row r="3" spans="1:7" ht="20.25" customHeight="1">
      <c r="E3" s="117" t="s">
        <v>158</v>
      </c>
    </row>
    <row r="4" spans="1:7" ht="18.75" customHeight="1">
      <c r="A4" s="154" t="s">
        <v>164</v>
      </c>
      <c r="B4" s="97" t="s">
        <v>82</v>
      </c>
      <c r="C4" s="97" t="s">
        <v>83</v>
      </c>
      <c r="D4" s="97"/>
      <c r="E4" s="97" t="s">
        <v>84</v>
      </c>
      <c r="F4" s="97" t="s">
        <v>85</v>
      </c>
      <c r="G4" s="97" t="s">
        <v>86</v>
      </c>
    </row>
    <row r="5" spans="1:7" ht="18.75" customHeight="1">
      <c r="B5" s="97"/>
      <c r="C5" s="97"/>
      <c r="D5" s="97" t="s">
        <v>168</v>
      </c>
      <c r="E5" s="97" t="s">
        <v>114</v>
      </c>
      <c r="F5" s="97"/>
      <c r="G5" s="97" t="s">
        <v>87</v>
      </c>
    </row>
    <row r="6" spans="1:7" ht="18.75" customHeight="1">
      <c r="B6" s="142">
        <v>2271</v>
      </c>
      <c r="C6" s="157" t="s">
        <v>169</v>
      </c>
      <c r="D6" s="157">
        <v>333.08</v>
      </c>
      <c r="E6" s="157">
        <v>438452.29</v>
      </c>
      <c r="F6" s="157">
        <v>440700</v>
      </c>
      <c r="G6" s="157">
        <f>E6-F6</f>
        <v>-2247.710000000021</v>
      </c>
    </row>
    <row r="7" spans="1:7" ht="18.75" customHeight="1">
      <c r="B7" s="97"/>
      <c r="C7" s="157" t="s">
        <v>170</v>
      </c>
      <c r="D7" s="157">
        <v>35</v>
      </c>
      <c r="E7" s="157">
        <f>D7*1429</f>
        <v>50015</v>
      </c>
      <c r="F7" s="157">
        <v>50000</v>
      </c>
      <c r="G7" s="157">
        <f>E7-F7</f>
        <v>15</v>
      </c>
    </row>
    <row r="8" spans="1:7" ht="18.75" customHeight="1">
      <c r="B8" s="97"/>
      <c r="C8" s="157" t="s">
        <v>171</v>
      </c>
      <c r="D8" s="157">
        <v>80</v>
      </c>
      <c r="E8" s="157">
        <f>D8*1429</f>
        <v>114320</v>
      </c>
      <c r="F8" s="157">
        <v>72100</v>
      </c>
      <c r="G8" s="157">
        <f>E8-F8</f>
        <v>42220</v>
      </c>
    </row>
    <row r="9" spans="1:7" ht="18.75" customHeight="1">
      <c r="B9" s="97"/>
      <c r="C9" s="157" t="s">
        <v>172</v>
      </c>
      <c r="D9" s="157">
        <v>120</v>
      </c>
      <c r="E9" s="157">
        <f>D9*1429</f>
        <v>171480</v>
      </c>
      <c r="F9" s="157">
        <v>37200</v>
      </c>
      <c r="G9" s="157">
        <f>E9-F9</f>
        <v>134280</v>
      </c>
    </row>
    <row r="10" spans="1:7" ht="18.75" customHeight="1">
      <c r="B10" s="97"/>
      <c r="C10" s="157" t="s">
        <v>103</v>
      </c>
      <c r="D10" s="157">
        <f>SUM(D6:D9)</f>
        <v>568.07999999999993</v>
      </c>
      <c r="E10" s="157">
        <f>SUM(E6:E9)</f>
        <v>774267.29</v>
      </c>
      <c r="F10" s="157">
        <f>SUM(F6:F9)</f>
        <v>600000</v>
      </c>
      <c r="G10" s="142">
        <f>SUM(G6:G9)</f>
        <v>174267.28999999998</v>
      </c>
    </row>
    <row r="11" spans="1:7" ht="18.75" customHeight="1">
      <c r="A11">
        <v>2</v>
      </c>
      <c r="B11" s="142">
        <v>2273</v>
      </c>
      <c r="C11" s="155" t="s">
        <v>161</v>
      </c>
      <c r="D11" s="131"/>
      <c r="E11" s="98">
        <v>5802.77</v>
      </c>
      <c r="F11" s="98"/>
      <c r="G11" s="98">
        <f t="shared" ref="G11:G17" si="0">E11-F11</f>
        <v>5802.77</v>
      </c>
    </row>
    <row r="12" spans="1:7" ht="18.75" customHeight="1">
      <c r="B12" s="99"/>
      <c r="C12" s="155" t="s">
        <v>159</v>
      </c>
      <c r="D12" s="131">
        <v>3200</v>
      </c>
      <c r="E12" s="98">
        <f t="shared" ref="E12:E17" si="1">D12*1.72</f>
        <v>5504</v>
      </c>
      <c r="F12" s="98">
        <v>13000</v>
      </c>
      <c r="G12" s="98">
        <f t="shared" si="0"/>
        <v>-7496</v>
      </c>
    </row>
    <row r="13" spans="1:7" ht="18.75" customHeight="1">
      <c r="B13" s="99"/>
      <c r="C13" s="155" t="s">
        <v>160</v>
      </c>
      <c r="D13" s="131">
        <v>3600</v>
      </c>
      <c r="E13" s="98">
        <f t="shared" si="1"/>
        <v>6192</v>
      </c>
      <c r="F13" s="98">
        <v>2000</v>
      </c>
      <c r="G13" s="98">
        <f t="shared" si="0"/>
        <v>4192</v>
      </c>
    </row>
    <row r="14" spans="1:7" ht="18.75" customHeight="1">
      <c r="B14" s="98"/>
      <c r="C14" s="131" t="s">
        <v>110</v>
      </c>
      <c r="D14" s="131">
        <v>7000</v>
      </c>
      <c r="E14" s="98">
        <f t="shared" si="1"/>
        <v>12040</v>
      </c>
      <c r="F14" s="98">
        <v>9000</v>
      </c>
      <c r="G14" s="98">
        <f t="shared" si="0"/>
        <v>3040</v>
      </c>
    </row>
    <row r="15" spans="1:7" ht="18.75" customHeight="1">
      <c r="B15" s="98"/>
      <c r="C15" s="131" t="s">
        <v>111</v>
      </c>
      <c r="D15" s="131">
        <v>8300</v>
      </c>
      <c r="E15" s="98">
        <f t="shared" si="1"/>
        <v>14276</v>
      </c>
      <c r="F15" s="98">
        <v>10000</v>
      </c>
      <c r="G15" s="98">
        <f t="shared" si="0"/>
        <v>4276</v>
      </c>
    </row>
    <row r="16" spans="1:7" ht="18.75" customHeight="1">
      <c r="B16" s="98"/>
      <c r="C16" s="131" t="s">
        <v>112</v>
      </c>
      <c r="D16" s="131">
        <v>8300</v>
      </c>
      <c r="E16" s="98">
        <f t="shared" si="1"/>
        <v>14276</v>
      </c>
      <c r="F16" s="98">
        <v>10000</v>
      </c>
      <c r="G16" s="98">
        <f t="shared" si="0"/>
        <v>4276</v>
      </c>
    </row>
    <row r="17" spans="1:7" ht="18.75" customHeight="1">
      <c r="B17" s="98"/>
      <c r="C17" s="131" t="s">
        <v>113</v>
      </c>
      <c r="D17" s="131">
        <v>8300</v>
      </c>
      <c r="E17" s="98">
        <f t="shared" si="1"/>
        <v>14276</v>
      </c>
      <c r="F17" s="98">
        <v>11000</v>
      </c>
      <c r="G17" s="98">
        <f t="shared" si="0"/>
        <v>3276</v>
      </c>
    </row>
    <row r="18" spans="1:7" s="118" customFormat="1" ht="18.75" customHeight="1">
      <c r="B18" s="132" t="s">
        <v>89</v>
      </c>
      <c r="C18" s="132"/>
      <c r="D18" s="132"/>
      <c r="E18" s="141">
        <f>SUM(E11:E17)</f>
        <v>72366.77</v>
      </c>
      <c r="F18" s="141">
        <f>SUM(F11:F17)</f>
        <v>55000</v>
      </c>
      <c r="G18" s="132">
        <f>SUM(G11:G17)</f>
        <v>17366.77</v>
      </c>
    </row>
    <row r="19" spans="1:7">
      <c r="A19" s="154">
        <v>3</v>
      </c>
      <c r="B19" s="95" t="s">
        <v>115</v>
      </c>
    </row>
    <row r="20" spans="1:7">
      <c r="B20" t="s">
        <v>162</v>
      </c>
      <c r="E20">
        <f>170*8.73*80</f>
        <v>118728.00000000001</v>
      </c>
    </row>
    <row r="21" spans="1:7">
      <c r="D21" t="s">
        <v>85</v>
      </c>
      <c r="E21">
        <v>68000</v>
      </c>
    </row>
    <row r="22" spans="1:7" ht="18" customHeight="1">
      <c r="D22" t="s">
        <v>116</v>
      </c>
      <c r="E22" s="130">
        <f>E21-E20</f>
        <v>-50728.000000000015</v>
      </c>
      <c r="F22" s="145" t="s">
        <v>163</v>
      </c>
      <c r="G22" s="190">
        <v>50728</v>
      </c>
    </row>
    <row r="23" spans="1:7" ht="20.25">
      <c r="A23" s="154">
        <v>4</v>
      </c>
      <c r="B23" s="154" t="s">
        <v>165</v>
      </c>
      <c r="C23" s="98"/>
      <c r="D23" s="98">
        <v>131005.63</v>
      </c>
      <c r="E23" s="130"/>
      <c r="F23" s="145"/>
      <c r="G23" s="144"/>
    </row>
    <row r="24" spans="1:7" ht="20.25">
      <c r="C24" s="155" t="s">
        <v>166</v>
      </c>
      <c r="D24" s="98">
        <v>34334.300000000003</v>
      </c>
      <c r="E24" s="130"/>
      <c r="F24" s="145"/>
      <c r="G24" s="144"/>
    </row>
    <row r="25" spans="1:7">
      <c r="C25" s="155" t="s">
        <v>121</v>
      </c>
      <c r="D25" s="99">
        <f>SUM(D23:D24)</f>
        <v>165339.93</v>
      </c>
    </row>
    <row r="26" spans="1:7" ht="15">
      <c r="B26" s="97" t="s">
        <v>82</v>
      </c>
      <c r="C26" s="97" t="s">
        <v>83</v>
      </c>
      <c r="D26" s="97"/>
      <c r="E26" s="97" t="s">
        <v>84</v>
      </c>
      <c r="F26" s="97" t="s">
        <v>85</v>
      </c>
      <c r="G26" s="97" t="s">
        <v>86</v>
      </c>
    </row>
    <row r="27" spans="1:7" ht="15">
      <c r="B27" s="180"/>
      <c r="C27" s="180"/>
      <c r="D27" s="180"/>
      <c r="E27" s="180" t="s">
        <v>114</v>
      </c>
      <c r="F27" s="180"/>
      <c r="G27" s="180" t="s">
        <v>87</v>
      </c>
    </row>
    <row r="28" spans="1:7" ht="18">
      <c r="B28" s="187">
        <v>2111</v>
      </c>
      <c r="C28" s="179" t="s">
        <v>45</v>
      </c>
      <c r="D28" s="98"/>
      <c r="E28" s="98">
        <v>327157.86</v>
      </c>
      <c r="F28" s="98">
        <v>535427.92000000004</v>
      </c>
      <c r="G28" s="109">
        <f>E28-F28</f>
        <v>-208270.06000000006</v>
      </c>
    </row>
    <row r="29" spans="1:7">
      <c r="B29" s="108"/>
      <c r="C29" s="179" t="s">
        <v>47</v>
      </c>
      <c r="D29" s="98"/>
      <c r="E29" s="98">
        <v>130178.92</v>
      </c>
      <c r="F29" s="98">
        <v>135100</v>
      </c>
      <c r="G29" s="109">
        <f t="shared" ref="G29:G34" si="2">E29-F29</f>
        <v>-4921.0800000000017</v>
      </c>
    </row>
    <row r="30" spans="1:7">
      <c r="B30" s="108"/>
      <c r="C30" s="179" t="s">
        <v>48</v>
      </c>
      <c r="D30" s="98"/>
      <c r="E30" s="98">
        <v>132712</v>
      </c>
      <c r="F30" s="98">
        <v>100000</v>
      </c>
      <c r="G30" s="109">
        <f t="shared" si="2"/>
        <v>32712</v>
      </c>
    </row>
    <row r="31" spans="1:7">
      <c r="B31" s="108"/>
      <c r="C31" s="155" t="s">
        <v>49</v>
      </c>
      <c r="D31" s="98"/>
      <c r="E31" s="98">
        <v>165400</v>
      </c>
      <c r="F31" s="98">
        <v>167100</v>
      </c>
      <c r="G31" s="109">
        <f t="shared" si="2"/>
        <v>-1700</v>
      </c>
    </row>
    <row r="32" spans="1:7">
      <c r="B32" s="108"/>
      <c r="C32" s="155" t="s">
        <v>51</v>
      </c>
      <c r="D32" s="98"/>
      <c r="E32" s="98">
        <v>165400</v>
      </c>
      <c r="F32" s="98">
        <v>143100</v>
      </c>
      <c r="G32" s="109">
        <f t="shared" si="2"/>
        <v>22300</v>
      </c>
    </row>
    <row r="33" spans="1:7">
      <c r="B33" s="108"/>
      <c r="C33" s="155" t="s">
        <v>52</v>
      </c>
      <c r="D33" s="98"/>
      <c r="E33" s="98">
        <v>165400</v>
      </c>
      <c r="F33" s="98">
        <v>76700</v>
      </c>
      <c r="G33" s="109">
        <f t="shared" si="2"/>
        <v>88700</v>
      </c>
    </row>
    <row r="34" spans="1:7">
      <c r="B34" s="108"/>
      <c r="C34" s="155" t="s">
        <v>53</v>
      </c>
      <c r="D34" s="98"/>
      <c r="E34" s="98">
        <v>165400</v>
      </c>
      <c r="F34" s="98">
        <v>89300</v>
      </c>
      <c r="G34" s="109">
        <f t="shared" si="2"/>
        <v>76100</v>
      </c>
    </row>
    <row r="35" spans="1:7" ht="21" thickBot="1">
      <c r="B35" s="182"/>
      <c r="C35" s="183" t="s">
        <v>103</v>
      </c>
      <c r="D35" s="171"/>
      <c r="E35" s="171">
        <f>SUM(E28:E34)</f>
        <v>1251648.78</v>
      </c>
      <c r="F35" s="171">
        <f>SUM(F28:F34)</f>
        <v>1246727.92</v>
      </c>
      <c r="G35" s="185">
        <f>SUM(G28:G34)</f>
        <v>4920.8599999999278</v>
      </c>
    </row>
    <row r="36" spans="1:7" ht="18.75" customHeight="1" thickBot="1">
      <c r="B36" s="188">
        <v>2120</v>
      </c>
      <c r="C36" s="181" t="s">
        <v>45</v>
      </c>
      <c r="D36" s="113"/>
      <c r="E36" s="113">
        <v>115866.61</v>
      </c>
      <c r="F36" s="113">
        <v>193746.87</v>
      </c>
      <c r="G36" s="184">
        <f>E36-F36</f>
        <v>-77880.259999999995</v>
      </c>
    </row>
    <row r="37" spans="1:7" ht="13.5" thickBot="1">
      <c r="B37" s="108"/>
      <c r="C37" s="179" t="s">
        <v>47</v>
      </c>
      <c r="D37" s="98"/>
      <c r="E37" s="115">
        <v>49817.99</v>
      </c>
      <c r="F37" s="98">
        <v>49000</v>
      </c>
      <c r="G37" s="184">
        <f t="shared" ref="G37:G42" si="3">E37-F37</f>
        <v>817.98999999999796</v>
      </c>
    </row>
    <row r="38" spans="1:7" ht="13.5" thickBot="1">
      <c r="B38" s="108"/>
      <c r="C38" s="179" t="s">
        <v>48</v>
      </c>
      <c r="D38" s="98"/>
      <c r="E38" s="115">
        <f>E30*36.3/100</f>
        <v>48174.455999999998</v>
      </c>
      <c r="F38" s="98">
        <v>36300</v>
      </c>
      <c r="G38" s="184">
        <f t="shared" si="3"/>
        <v>11874.455999999998</v>
      </c>
    </row>
    <row r="39" spans="1:7" ht="13.5" thickBot="1">
      <c r="B39" s="108"/>
      <c r="C39" s="155" t="s">
        <v>49</v>
      </c>
      <c r="D39" s="98"/>
      <c r="E39" s="98">
        <f>E31*36.3/100</f>
        <v>60040.19999999999</v>
      </c>
      <c r="F39" s="98">
        <v>60700</v>
      </c>
      <c r="G39" s="184">
        <f t="shared" si="3"/>
        <v>-659.80000000001019</v>
      </c>
    </row>
    <row r="40" spans="1:7" ht="13.5" thickBot="1">
      <c r="B40" s="108"/>
      <c r="C40" s="155" t="s">
        <v>51</v>
      </c>
      <c r="D40" s="98"/>
      <c r="E40" s="98">
        <f>E32*36.3/100</f>
        <v>60040.19999999999</v>
      </c>
      <c r="F40" s="98">
        <v>51900</v>
      </c>
      <c r="G40" s="184">
        <f t="shared" si="3"/>
        <v>8140.1999999999898</v>
      </c>
    </row>
    <row r="41" spans="1:7" ht="13.5" thickBot="1">
      <c r="B41" s="108"/>
      <c r="C41" s="155" t="s">
        <v>52</v>
      </c>
      <c r="D41" s="98"/>
      <c r="E41" s="98">
        <f>E33*36.3/100</f>
        <v>60040.19999999999</v>
      </c>
      <c r="F41" s="98">
        <v>27800</v>
      </c>
      <c r="G41" s="184">
        <f t="shared" si="3"/>
        <v>32240.19999999999</v>
      </c>
    </row>
    <row r="42" spans="1:7">
      <c r="B42" s="108"/>
      <c r="C42" s="155" t="s">
        <v>53</v>
      </c>
      <c r="D42" s="98"/>
      <c r="E42" s="98">
        <f>E34*36.3/100</f>
        <v>60040.19999999999</v>
      </c>
      <c r="F42" s="98">
        <v>32200</v>
      </c>
      <c r="G42" s="184">
        <f t="shared" si="3"/>
        <v>27840.19999999999</v>
      </c>
    </row>
    <row r="43" spans="1:7" ht="18.75" customHeight="1" thickBot="1">
      <c r="B43" s="182"/>
      <c r="C43" s="183" t="s">
        <v>103</v>
      </c>
      <c r="D43" s="171"/>
      <c r="E43" s="171">
        <f>SUM(E36:E42)</f>
        <v>454019.85600000003</v>
      </c>
      <c r="F43" s="171">
        <f>SUM(F36:F42)</f>
        <v>451646.87</v>
      </c>
      <c r="G43" s="186">
        <f>SUM(G36:G42)</f>
        <v>2372.985999999968</v>
      </c>
    </row>
    <row r="45" spans="1:7" ht="20.25">
      <c r="A45" s="191" t="s">
        <v>173</v>
      </c>
      <c r="E45" s="228">
        <f>G43+G35+G18+G10+G22</f>
        <v>249655.90599999987</v>
      </c>
      <c r="F45" s="228"/>
      <c r="G45" s="189">
        <f>G43+G35+G22+G18+G10</f>
        <v>249655.90599999987</v>
      </c>
    </row>
  </sheetData>
  <mergeCells count="1">
    <mergeCell ref="E45:F4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Потреба в коштах (2)</vt:lpstr>
      <vt:lpstr>Березень 2014</vt:lpstr>
      <vt:lpstr>2011 рік</vt:lpstr>
      <vt:lpstr>2012 рік</vt:lpstr>
      <vt:lpstr>2013</vt:lpstr>
      <vt:lpstr>2014</vt:lpstr>
      <vt:lpstr>2015</vt:lpstr>
      <vt:lpstr>2016</vt:lpstr>
      <vt:lpstr>Потреба в коштах</vt:lpstr>
      <vt:lpstr>2273 за три роки</vt:lpstr>
      <vt:lpstr>Інформація</vt:lpstr>
      <vt:lpstr>2017</vt:lpstr>
      <vt:lpstr>2018</vt:lpstr>
      <vt:lpstr>2019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Durektor</cp:lastModifiedBy>
  <cp:lastPrinted>2019-08-27T11:51:16Z</cp:lastPrinted>
  <dcterms:created xsi:type="dcterms:W3CDTF">1996-10-08T23:32:33Z</dcterms:created>
  <dcterms:modified xsi:type="dcterms:W3CDTF">2019-09-05T14:24:17Z</dcterms:modified>
</cp:coreProperties>
</file>